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1.xml" ContentType="application/vnd.openxmlformats-officedocument.spreadsheetml.comments+xml"/>
  <Override PartName="/xl/tables/table36.xml" ContentType="application/vnd.openxmlformats-officedocument.spreadsheetml.table+xml"/>
  <Override PartName="/xl/comments2.xml" ContentType="application/vnd.openxmlformats-officedocument.spreadsheetml.comments+xml"/>
  <Override PartName="/xl/tables/table37.xml" ContentType="application/vnd.openxmlformats-officedocument.spreadsheetml.table+xml"/>
  <Override PartName="/xl/comments3.xml" ContentType="application/vnd.openxmlformats-officedocument.spreadsheetml.comments+xml"/>
  <Override PartName="/xl/tables/table38.xml" ContentType="application/vnd.openxmlformats-officedocument.spreadsheetml.table+xml"/>
  <Override PartName="/xl/comments4.xml" ContentType="application/vnd.openxmlformats-officedocument.spreadsheetml.comments+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comments5.xml" ContentType="application/vnd.openxmlformats-officedocument.spreadsheetml.comments+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comments6.xml" ContentType="application/vnd.openxmlformats-officedocument.spreadsheetml.comments+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comments7.xml" ContentType="application/vnd.openxmlformats-officedocument.spreadsheetml.comments+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comments8.xml" ContentType="application/vnd.openxmlformats-officedocument.spreadsheetml.comments+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comments9.xml" ContentType="application/vnd.openxmlformats-officedocument.spreadsheetml.comments+xml"/>
  <Override PartName="/xl/tables/table74.xml" ContentType="application/vnd.openxmlformats-officedocument.spreadsheetml.table+xml"/>
  <Override PartName="/xl/tables/table7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DieseArbeitsmappe" hidePivotFieldList="1" defaultThemeVersion="166925"/>
  <mc:AlternateContent xmlns:mc="http://schemas.openxmlformats.org/markup-compatibility/2006">
    <mc:Choice Requires="x15">
      <x15ac:absPath xmlns:x15ac="http://schemas.microsoft.com/office/spreadsheetml/2010/11/ac" url="C:\Users\Roschin\Documents\Nils\"/>
    </mc:Choice>
  </mc:AlternateContent>
  <xr:revisionPtr revIDLastSave="0" documentId="8_{5F4D3B60-F838-4CC2-8496-B4718FD5B012}" xr6:coauthVersionLast="36" xr6:coauthVersionMax="36" xr10:uidLastSave="{00000000-0000-0000-0000-000000000000}"/>
  <bookViews>
    <workbookView xWindow="0" yWindow="0" windowWidth="23040" windowHeight="8940" tabRatio="899" xr2:uid="{00000000-000D-0000-FFFF-FFFF00000000}"/>
  </bookViews>
  <sheets>
    <sheet name="Haushalt" sheetId="1" r:id="rId1"/>
    <sheet name="Tabelle1" sheetId="76" state="hidden" r:id="rId2"/>
    <sheet name="Stellenplan" sheetId="3" r:id="rId3"/>
    <sheet name="Anschaffungsplan+BHS" sheetId="4" r:id="rId4"/>
    <sheet name="Mieten und Lizenzen" sheetId="61" r:id="rId5"/>
    <sheet name="Leistungen Dritter" sheetId="62" r:id="rId6"/>
    <sheet name="Aufwandsentschädigungen" sheetId="49" r:id="rId7"/>
    <sheet name="WiWi neu" sheetId="71" r:id="rId8"/>
    <sheet name="KSW neu" sheetId="72" r:id="rId9"/>
    <sheet name="PSY neu" sheetId="74" r:id="rId10"/>
    <sheet name="ReWi neu" sheetId="75" r:id="rId11"/>
    <sheet name="M_I" sheetId="66" r:id="rId12"/>
    <sheet name="ReWi" sheetId="65" r:id="rId13"/>
    <sheet name="HHJ_2021_2022" sheetId="67" state="hidden" r:id="rId14"/>
    <sheet name="HHJ_2022_2023" sheetId="70" state="hidden" r:id="rId15"/>
    <sheet name="PSY" sheetId="64" r:id="rId16"/>
    <sheet name="WiWi" sheetId="69" r:id="rId17"/>
    <sheet name="KSW" sheetId="63" r:id="rId18"/>
    <sheet name="Referatspläne" sheetId="2" r:id="rId19"/>
  </sheets>
  <externalReferences>
    <externalReference r:id="rId20"/>
    <externalReference r:id="rId21"/>
    <externalReference r:id="rId22"/>
    <externalReference r:id="rId23"/>
    <externalReference r:id="rId24"/>
  </externalReferences>
  <definedNames>
    <definedName name="AEFKKSW_413.21">KSW!$V$80</definedName>
    <definedName name="AEFKKSW_527.40">KSW!$W$80</definedName>
    <definedName name="AEFKKSW_529.40">KSW!$X$80</definedName>
    <definedName name="AEFKKSW_531.40">KSW!$Y$80</definedName>
    <definedName name="AEFKM_I_413.21">M_I!$V$78</definedName>
    <definedName name="AEFKM_I_527.40">M_I!$W$78</definedName>
    <definedName name="AEFKM_I_529.40">M_I!$X$78</definedName>
    <definedName name="AEFKM_I_531.40">M_I!$Y$78</definedName>
    <definedName name="AEFKPSY_413.21">PSY!$V$66</definedName>
    <definedName name="AEFKPSY_527.40">PSY!$W$66</definedName>
    <definedName name="AEFKPSY_529.40">PSY!$X$66</definedName>
    <definedName name="AEFKPSY_531.40">PSY!$Y$66</definedName>
    <definedName name="AEFKRewi_413.21">ReWi!$V$70</definedName>
    <definedName name="AEFKRewi_527.40">ReWi!$W$70</definedName>
    <definedName name="AEFKRewi_529.40">ReWi!$X$70</definedName>
    <definedName name="AEFKRewi_531.40">ReWi!$Y$70</definedName>
    <definedName name="AEFKWiwi_413.21" localSheetId="17">KSW!$V$80</definedName>
    <definedName name="AEFKWiwi_413.21" localSheetId="11">M_I!$V$78</definedName>
    <definedName name="AEFKWiwi_413.21" localSheetId="15">PSY!$V$66</definedName>
    <definedName name="AEFKWiwi_413.21" localSheetId="12">ReWi!$V$70</definedName>
    <definedName name="AEFKWiwi_413.21">WiWi!$P$66</definedName>
    <definedName name="AEFKWiwi_527.40" localSheetId="17">KSW!$W$80</definedName>
    <definedName name="AEFKWiwi_527.40" localSheetId="11">M_I!$W$78</definedName>
    <definedName name="AEFKWiwi_527.40" localSheetId="15">PSY!$W$66</definedName>
    <definedName name="AEFKWiwi_527.40" localSheetId="12">ReWi!$W$70</definedName>
    <definedName name="AEFKWiwi_527.40">WiWi!$Q$66</definedName>
    <definedName name="AEFKWiwi_529.40" localSheetId="17">KSW!$X$80</definedName>
    <definedName name="AEFKWiwi_529.40" localSheetId="11">M_I!$X$78</definedName>
    <definedName name="AEFKWiwi_529.40" localSheetId="15">PSY!$X$66</definedName>
    <definedName name="AEFKWiwi_529.40" localSheetId="12">ReWi!$X$70</definedName>
    <definedName name="AEFKWiwi_529.40">WiWi!$R$66</definedName>
    <definedName name="AEFKWiwi_531.40" localSheetId="17">KSW!$Y$80</definedName>
    <definedName name="AEFKWiwi_531.40" localSheetId="11">M_I!$Y$78</definedName>
    <definedName name="AEFKWiwi_531.40" localSheetId="15">PSY!$Y$66</definedName>
    <definedName name="AEFKWiwi_531.40" localSheetId="12">ReWi!$Y$70</definedName>
    <definedName name="AEFKWiwi_531.40">WiWi!$S$66</definedName>
    <definedName name="AStA_Bew.Ext.">Haushalt!$H$178</definedName>
    <definedName name="AStA_Bew.Int.">Haushalt!$H$158</definedName>
    <definedName name="AStA_Druck">Haushalt!$H$180</definedName>
    <definedName name="AStA_Einn.Bew.">Haushalt!$H$24</definedName>
    <definedName name="AStA_Ext.RK">Haushalt!$H$177</definedName>
    <definedName name="AStA_Hon_I">Haushalt!$H$175</definedName>
    <definedName name="AStA_Hon_II">Haushalt!$H$176</definedName>
    <definedName name="AStA_R_U_Ext.">Haushalt!$H$179</definedName>
    <definedName name="AStA_R_U_Int.">Haushalt!$H$147</definedName>
    <definedName name="AStA_Referate">Haushalt!$H$97</definedName>
    <definedName name="AStA_RK_Int.">Haushalt!$H$135</definedName>
    <definedName name="AStA_SKP">Haushalt!$H$99</definedName>
    <definedName name="AStA_Sonst.">Haushalt!$H$181</definedName>
    <definedName name="AStA_TN_2">Haushalt!$H$20</definedName>
    <definedName name="AStA_TN_I">Haushalt!$H$19</definedName>
    <definedName name="AStA_VBG">Haushalt!$H$100</definedName>
    <definedName name="Beschäft._VBG">Haushalt!$H$107</definedName>
    <definedName name="BHS_II" localSheetId="8">Tabelle211123957[[#Totals],[Betrag]]</definedName>
    <definedName name="BHS_II" localSheetId="9">Tabelle211123957[[#Totals],[Betrag]]</definedName>
    <definedName name="BHS_II" localSheetId="10">Tabelle211123957[[#Totals],[Betrag]]</definedName>
    <definedName name="BHS_II">Tabelle211123957[[#Totals],[Betrag]]</definedName>
    <definedName name="BR_Besch.">Haushalt!$H$106</definedName>
    <definedName name="BR_Beschäft.">Haushalt!$H$106</definedName>
    <definedName name="Bundesknappschaft">Haushalt!$H$98</definedName>
    <definedName name="Campus_Bew." localSheetId="8">[1]Referatspläne!$D$136</definedName>
    <definedName name="Campus_Bew." localSheetId="9">[1]Referatspläne!$D$136</definedName>
    <definedName name="Campus_Bew." localSheetId="10">[1]Referatspläne!$D$136</definedName>
    <definedName name="Campus_Bew." localSheetId="7">[1]Referatspläne!$D$136</definedName>
    <definedName name="Campus_Bew.">Referatspläne!$D$136</definedName>
    <definedName name="Förderungen">Haushalt!$H$27</definedName>
    <definedName name="Förderungen_Sonst">Haushalt!$H$30</definedName>
    <definedName name="Gehälter_Beschäft.">Haushalt!$H$103</definedName>
    <definedName name="ggg" localSheetId="8">Tabelle211123957[[#Totals],[Betrag]]</definedName>
    <definedName name="ggg" localSheetId="9">Tabelle211123957[[#Totals],[Betrag]]</definedName>
    <definedName name="ggg" localSheetId="10">Tabelle211123957[[#Totals],[Betrag]]</definedName>
    <definedName name="ggg">Tabelle211123957[[#Totals],[Betrag]]</definedName>
    <definedName name="IT_Dienstl.">'Leistungen Dritter'!$O$16</definedName>
    <definedName name="IT_Mieten">Haushalt!$H$125</definedName>
    <definedName name="IT_Mieten_Ges." localSheetId="8">Tabelle16[[#Totals],[Beträge/Budget]]</definedName>
    <definedName name="IT_Mieten_Ges." localSheetId="9">Tabelle16[[#Totals],[Beträge/Budget]]</definedName>
    <definedName name="IT_Mieten_Ges." localSheetId="10">Tabelle16[[#Totals],[Beträge/Budget]]</definedName>
    <definedName name="IT_Mieten_Ges.">Tabelle16[[#Totals],[Beträge/Budget]]</definedName>
    <definedName name="KSW_AE_var">Haushalt!$H$90</definedName>
    <definedName name="KSW_Bew.Ext.">Haushalt!$H$204</definedName>
    <definedName name="KSW_Bew.Int.">Haushalt!$H$162</definedName>
    <definedName name="KSW_Druck">Haushalt!$H$216</definedName>
    <definedName name="KSW_Ext.RK">Haushalt!$H$198</definedName>
    <definedName name="KSW_Hon_I">Haushalt!$H$186</definedName>
    <definedName name="KSW_Hon_II">Haushalt!$H$192</definedName>
    <definedName name="KSW_R_U_Ext.">Haushalt!$H$210</definedName>
    <definedName name="KSW_R_U_Int.">Haushalt!$H$150</definedName>
    <definedName name="KSW_RK_Int.">Haushalt!$H$138</definedName>
    <definedName name="KSW_Sonst.">Haushalt!$H$222</definedName>
    <definedName name="KSW_Sonst_Einnahmen">Haushalt!$H$53</definedName>
    <definedName name="KSW_TN_Beiträge_I">Haushalt!$H$39</definedName>
    <definedName name="KSW_TN_Beiträge_II">Haushalt!$H$46</definedName>
    <definedName name="Lerngruppen_ges." localSheetId="8">[1]Referatspläne!$B$128</definedName>
    <definedName name="Lerngruppen_ges." localSheetId="9">[1]Referatspläne!$B$128</definedName>
    <definedName name="Lerngruppen_ges." localSheetId="10">[1]Referatspläne!$B$128</definedName>
    <definedName name="Lerngruppen_ges." localSheetId="7">[1]Referatspläne!$B$128</definedName>
    <definedName name="Lerngruppen_ges.">Referatspläne!$B$128</definedName>
    <definedName name="Lizenzen">Haushalt!$H$123</definedName>
    <definedName name="Lizenzen_Ges." localSheetId="8">Tabelle17[[#Totals],[Beträge/Budget]]</definedName>
    <definedName name="Lizenzen_Ges." localSheetId="9">Tabelle17[[#Totals],[Beträge/Budget]]</definedName>
    <definedName name="Lizenzen_Ges." localSheetId="10">Tabelle17[[#Totals],[Beträge/Budget]]</definedName>
    <definedName name="Lizenzen_Ges.">Tabelle17[[#Totals],[Beträge/Budget]]</definedName>
    <definedName name="M_I_AE_var">Haushalt!$H$93</definedName>
    <definedName name="M_I_Bew.Ext.">Haushalt!$H$207</definedName>
    <definedName name="M_I_Bew.Int.">Haushalt!$H$165</definedName>
    <definedName name="M_I_Druck">Haushalt!$H$219</definedName>
    <definedName name="M_I_Ext.RK">Haushalt!$H$201</definedName>
    <definedName name="M_I_Hon_I">Haushalt!$H$189</definedName>
    <definedName name="M_I_Hon_II">Haushalt!$H$195</definedName>
    <definedName name="M_I_R_U_Ext.">Haushalt!$H$213</definedName>
    <definedName name="M_I_R_U_Int.">Haushalt!$H$153</definedName>
    <definedName name="M_I_RK_Int.">Haushalt!$H$141</definedName>
    <definedName name="M_I_Sonst.">Haushalt!$H$225</definedName>
    <definedName name="M_I_Sonst_Einnahmen">Haushalt!$H$56</definedName>
    <definedName name="M_I_TN_Beiträge_I">Haushalt!$H$42</definedName>
    <definedName name="M_I_TN_Beiträge_II">Haushalt!$H$49</definedName>
    <definedName name="MaßnKSW_220.10">KSW!$T$62</definedName>
    <definedName name="MaßnKSW_230.10">KSW!$U$62</definedName>
    <definedName name="MaßnKSW_527.40">KSW!$W$62</definedName>
    <definedName name="MaßnKSW_529.40">KSW!$X$62</definedName>
    <definedName name="MaßnKSW_531.40">KSW!$Y$62</definedName>
    <definedName name="MaßnKSW_551.40">KSW!$Z$62</definedName>
    <definedName name="MaßnKSW_551.50">KSW!$AA$62</definedName>
    <definedName name="MaßnKSW_551.60">KSW!$AB$62</definedName>
    <definedName name="MaßnKSW_551.70">KSW!$AC$62</definedName>
    <definedName name="MaßnKSW_560.70">KSW!$AD$62</definedName>
    <definedName name="MaßnM_I_220.10">M_I!$T$60</definedName>
    <definedName name="MaßnM_I_230.10">M_I!$U$60</definedName>
    <definedName name="MaßnM_I_413.21">M_I!$V$60</definedName>
    <definedName name="MaßnM_I_527.40">M_I!$W$60</definedName>
    <definedName name="MaßnM_I_529.40">M_I!$X$60</definedName>
    <definedName name="MaßnM_I_531.40">M_I!$Y$60</definedName>
    <definedName name="MaßnM_I_551.40">M_I!$Z$60</definedName>
    <definedName name="MaßnM_I_551.50">M_I!$AA$60</definedName>
    <definedName name="MaßnM_I_551.60">M_I!$AB$60</definedName>
    <definedName name="MaßnM_I_551.70">M_I!$AC$60</definedName>
    <definedName name="MaßnM_I_560.70">M_I!$AD$60</definedName>
    <definedName name="MaßnPSY_220.10">PSY!$T$48</definedName>
    <definedName name="MaßnPSY_230.10">PSY!$U$48</definedName>
    <definedName name="MaßnPSY_413.21">PSY!$V$48</definedName>
    <definedName name="MaßnPSY_527.40">PSY!$W$48</definedName>
    <definedName name="MaßnPSY_529.40">PSY!$X$48</definedName>
    <definedName name="MaßnPSY_531.40">PSY!$Y$48</definedName>
    <definedName name="MaßnPSY_551.40">PSY!$Z$48</definedName>
    <definedName name="MaßnPSY_551.50">PSY!$AA$48</definedName>
    <definedName name="MaßnPSY_551.60">PSY!$AB$48</definedName>
    <definedName name="MaßnPSY_551.70">PSY!$AC$48</definedName>
    <definedName name="MaßnPSY_560.70">PSY!$AD$48</definedName>
    <definedName name="MaßnRewi_220.10">ReWi!$T$52</definedName>
    <definedName name="MaßnRewi_230.10">ReWi!$U$52</definedName>
    <definedName name="MaßnRewi_413.21">ReWi!$V$52</definedName>
    <definedName name="MaßnRewi_527.40">ReWi!$W$52</definedName>
    <definedName name="MaßnRewi_529.40">ReWi!$X$52</definedName>
    <definedName name="MaßnRewi_531.40">ReWi!$Y$52</definedName>
    <definedName name="MaßnRewi_551.40">ReWi!$Z$52</definedName>
    <definedName name="MaßnRewi_551.50">ReWi!$AA$52</definedName>
    <definedName name="MaßnRewi_551.60">ReWi!$AB$52</definedName>
    <definedName name="MaßnRewi_551.70">ReWi!$AC$52</definedName>
    <definedName name="MaßnRewi_560.70">ReWi!$AD$52</definedName>
    <definedName name="MaßnWiwi_220.10" localSheetId="17">KSW!$T$62</definedName>
    <definedName name="MaßnWiwi_220.10" localSheetId="11">M_I!$T$60</definedName>
    <definedName name="MaßnWiwi_220.10" localSheetId="15">PSY!$T$48</definedName>
    <definedName name="MaßnWiwi_220.10" localSheetId="12">ReWi!$T$52</definedName>
    <definedName name="MaßnWiwi_220.10">WiWi!$T$49</definedName>
    <definedName name="MaßnWiwi_230.10" localSheetId="17">KSW!$U$62</definedName>
    <definedName name="MaßnWiwi_230.10" localSheetId="11">M_I!$U$60</definedName>
    <definedName name="MaßnWiwi_230.10" localSheetId="15">PSY!$U$48</definedName>
    <definedName name="MaßnWiwi_230.10" localSheetId="12">ReWi!$U$52</definedName>
    <definedName name="MaßnWiwi_230.10">WiWi!$U$49</definedName>
    <definedName name="MaßnWiwi_413.21" localSheetId="17">KSW!$V$62</definedName>
    <definedName name="MaßnWiwi_413.21" localSheetId="11">M_I!$V$60</definedName>
    <definedName name="MaßnWiwi_413.21" localSheetId="15">PSY!$V$48</definedName>
    <definedName name="MaßnWiwi_413.21" localSheetId="12">ReWi!$V$52</definedName>
    <definedName name="MaßnWiwi_413.21">WiWi!$V$49</definedName>
    <definedName name="MaßnWiwi_527.40" localSheetId="17">KSW!$W$62</definedName>
    <definedName name="MaßnWiwi_527.40" localSheetId="11">M_I!$W$60</definedName>
    <definedName name="MaßnWiwi_527.40" localSheetId="15">PSY!$W$48</definedName>
    <definedName name="MaßnWiwi_527.40" localSheetId="12">ReWi!$W$52</definedName>
    <definedName name="MaßnWiwi_527.40">WiWi!$W$49</definedName>
    <definedName name="MaßnWiwi_529.40" localSheetId="17">KSW!$X$62</definedName>
    <definedName name="MaßnWiwi_529.40" localSheetId="11">M_I!$X$60</definedName>
    <definedName name="MaßnWiwi_529.40" localSheetId="15">PSY!$X$48</definedName>
    <definedName name="MaßnWiwi_529.40" localSheetId="12">ReWi!$X$52</definedName>
    <definedName name="MaßnWiwi_529.40">WiWi!$X$49</definedName>
    <definedName name="MaßnWiwi_531.40" localSheetId="17">KSW!$Y$62</definedName>
    <definedName name="MaßnWiwi_531.40" localSheetId="11">M_I!$Y$60</definedName>
    <definedName name="MaßnWiwi_531.40" localSheetId="15">PSY!$Y$48</definedName>
    <definedName name="MaßnWiwi_531.40" localSheetId="12">ReWi!$Y$52</definedName>
    <definedName name="MaßnWiwi_531.40">WiWi!$Y$49</definedName>
    <definedName name="MaßnWiwi_551.40" localSheetId="17">KSW!$Z$62</definedName>
    <definedName name="MaßnWiwi_551.40" localSheetId="11">M_I!$Z$60</definedName>
    <definedName name="MaßnWiwi_551.40" localSheetId="15">PSY!$Z$48</definedName>
    <definedName name="MaßnWiwi_551.40" localSheetId="12">ReWi!$Z$52</definedName>
    <definedName name="MaßnWiwi_551.40">WiWi!$Z$49</definedName>
    <definedName name="MaßnWiwi_551.50" localSheetId="17">KSW!$AA$62</definedName>
    <definedName name="MaßnWiwi_551.50" localSheetId="11">M_I!$AA$60</definedName>
    <definedName name="MaßnWiwi_551.50" localSheetId="15">PSY!$AA$48</definedName>
    <definedName name="MaßnWiwi_551.50" localSheetId="12">ReWi!$AA$52</definedName>
    <definedName name="MaßnWiwi_551.50">WiWi!$AA$49</definedName>
    <definedName name="MaßnWiwi_551.60" localSheetId="17">KSW!$AB$62</definedName>
    <definedName name="MaßnWiwi_551.60" localSheetId="11">M_I!$AB$60</definedName>
    <definedName name="MaßnWiwi_551.60" localSheetId="15">PSY!$AB$48</definedName>
    <definedName name="MaßnWiwi_551.60" localSheetId="12">ReWi!$AB$52</definedName>
    <definedName name="MaßnWiwi_551.60">WiWi!$AB$49</definedName>
    <definedName name="MaßnWiwi_551.70" localSheetId="17">KSW!$AC$62</definedName>
    <definedName name="MaßnWiwi_551.70" localSheetId="11">M_I!$AC$60</definedName>
    <definedName name="MaßnWiwi_551.70" localSheetId="15">PSY!$AC$48</definedName>
    <definedName name="MaßnWiwi_551.70" localSheetId="12">ReWi!$AC$52</definedName>
    <definedName name="MaßnWiwi_551.70">WiWi!$AC$49</definedName>
    <definedName name="MaßnWiwi_560.70" localSheetId="17">KSW!$AD$62</definedName>
    <definedName name="MaßnWiwi_560.70" localSheetId="11">M_I!$AD$60</definedName>
    <definedName name="MaßnWiwi_560.70" localSheetId="15">PSY!$AD$48</definedName>
    <definedName name="MaßnWiwi_560.70" localSheetId="12">ReWi!$AD$52</definedName>
    <definedName name="MaßnWiwi_560.70">WiWi!$AD$49</definedName>
    <definedName name="Mieten">'Mieten und Lizenzen'!$M$3</definedName>
    <definedName name="Neu_Allg.">'Anschaffungsplan+BHS'!$L$3</definedName>
    <definedName name="Neu_BHS">'Anschaffungsplan+BHS'!$L$31</definedName>
    <definedName name="Neu_EDV_Tel.">'Anschaffungsplan+BHS'!$L$12</definedName>
    <definedName name="Neuanschaff_Allg">Haushalt!$H$128</definedName>
    <definedName name="Neuanschaff_EDV">Haushalt!$H$129</definedName>
    <definedName name="Psy_AE_var">Haushalt!$H$91</definedName>
    <definedName name="Psy_Bew.Ext.">Haushalt!$H$205</definedName>
    <definedName name="Psy_Bew.Int.">Haushalt!$H$163</definedName>
    <definedName name="Psy_Druck">Haushalt!$H$217</definedName>
    <definedName name="Psy_Ext.RK">Haushalt!$H$199</definedName>
    <definedName name="PSY_Hon_I">Haushalt!$H$187</definedName>
    <definedName name="Psy_Hon_II">Haushalt!$H$193</definedName>
    <definedName name="Psy_R_U_Ext.">Haushalt!$H$211</definedName>
    <definedName name="Psy_R_U_Int.">Haushalt!$H$151</definedName>
    <definedName name="Psy_RK_Int.">Haushalt!$H$139</definedName>
    <definedName name="Psy_Sonst.">Haushalt!$H$223</definedName>
    <definedName name="Psy_Sonst_Einnahmen">Haushalt!$H$54</definedName>
    <definedName name="Psy_TN_Beiträge_I">Haushalt!$H$40</definedName>
    <definedName name="Psy_TN_Beiträge_II">Haushalt!$H$47</definedName>
    <definedName name="Rechtsk.FSen">Haushalt!$H$235</definedName>
    <definedName name="Renov_Inst">Haushalt!$H$130</definedName>
    <definedName name="Renov_Inst.">'Anschaffungsplan+BHS'!$L$21</definedName>
    <definedName name="Rewi_AE_var">Haushalt!$H$92</definedName>
    <definedName name="Rewi_Bew.Ext.">Haushalt!$H$206</definedName>
    <definedName name="Rewi_Bew.Int.">Haushalt!$H$164</definedName>
    <definedName name="Rewi_Druck">Haushalt!$H$218</definedName>
    <definedName name="Rewi_Ext.RK">Haushalt!$H$200</definedName>
    <definedName name="Rewi_Hon_I">Haushalt!$H$188</definedName>
    <definedName name="Rewi_Hon_II">Haushalt!$H$194</definedName>
    <definedName name="Rewi_R_U_Ext.">Haushalt!$H$212</definedName>
    <definedName name="Rewi_R_U_Int.">Haushalt!$H$152</definedName>
    <definedName name="Rewi_RK_Int.">Haushalt!$H$140</definedName>
    <definedName name="Rewi_Sonst.">Haushalt!$H$224</definedName>
    <definedName name="Rewi_Sonst_Einnahmen">Haushalt!$H$55</definedName>
    <definedName name="Rewi_TN_Beiträge_I">Haushalt!$H$41</definedName>
    <definedName name="Rewi_TN_Beiträge_II">Haushalt!$H$48</definedName>
    <definedName name="SemKSW_210.10">KSW!$T$34</definedName>
    <definedName name="SemKSW_220.10">KSW!$U$34</definedName>
    <definedName name="SemKSW_230.10">KSW!$V$34</definedName>
    <definedName name="SemKSW_551.10">KSW!$W$34</definedName>
    <definedName name="SemKSW_551.20">KSW!$X$34</definedName>
    <definedName name="SemKSW_551.30">KSW!$Y$34</definedName>
    <definedName name="SemKSW_551.40">KSW!$Z$34</definedName>
    <definedName name="SemKSW_551.50">KSW!$AA$34</definedName>
    <definedName name="SemKSW_551.60">KSW!$AB$34</definedName>
    <definedName name="SemM_I_210.10">M_I!$T$43</definedName>
    <definedName name="SemM_I_220.10">M_I!$U$43</definedName>
    <definedName name="SemM_I_230.10">M_I!$V$43</definedName>
    <definedName name="SemM_I_551.10">M_I!$W$43</definedName>
    <definedName name="SemM_I_551.20">M_I!$X$43</definedName>
    <definedName name="SemM_I_551.30">M_I!$Y$43</definedName>
    <definedName name="SemM_I_551.40">M_I!$Z$43</definedName>
    <definedName name="SemM_I_551.50">M_I!$AA$43</definedName>
    <definedName name="SemM_I_551.60">M_I!$AB$43</definedName>
    <definedName name="SemPSY_210.10">PSY!$T$34</definedName>
    <definedName name="SemPSY_220.10">PSY!$U$34</definedName>
    <definedName name="SemPSY_230.10">PSY!$V$34</definedName>
    <definedName name="SemPSY_551.10">PSY!$W$34</definedName>
    <definedName name="SemPSY_551.20">PSY!$X$34</definedName>
    <definedName name="SemPSY_551.30">PSY!$Y$34</definedName>
    <definedName name="SemPSY_551.40">PSY!$Z$34</definedName>
    <definedName name="SemPSY_551.50">PSY!$AA$34</definedName>
    <definedName name="SemPSY_551.60">PSY!$AB$34</definedName>
    <definedName name="SemRewi_210.10">ReWi!$T$34</definedName>
    <definedName name="SemRewi_220.10">ReWi!$U$34</definedName>
    <definedName name="SemRewi_230.10">ReWi!$V$34</definedName>
    <definedName name="SemRewi_551.10">ReWi!$W$34</definedName>
    <definedName name="SemRewi_551.20">ReWi!$X$34</definedName>
    <definedName name="SemRewi_551.30">ReWi!$Y$34</definedName>
    <definedName name="SemRewi_551.40">ReWi!$Z$34</definedName>
    <definedName name="SemRewi_551.50">ReWi!$AA$34</definedName>
    <definedName name="SemRewi_551.60">ReWi!$AB$34</definedName>
    <definedName name="SemWiwi_210.10" localSheetId="17">KSW!$T$34</definedName>
    <definedName name="SemWiwi_210.10" localSheetId="11">M_I!$T$43</definedName>
    <definedName name="SemWiwi_210.10" localSheetId="15">PSY!$T$34</definedName>
    <definedName name="SemWiwi_210.10" localSheetId="12">ReWi!$T$34</definedName>
    <definedName name="SemWiwi_210.10">WiWi!$Q$34</definedName>
    <definedName name="SemWiwi_220.10" localSheetId="17">KSW!$U$34</definedName>
    <definedName name="SemWiwi_220.10" localSheetId="11">M_I!$U$43</definedName>
    <definedName name="SemWiwi_220.10" localSheetId="15">PSY!$U$34</definedName>
    <definedName name="SemWiwi_220.10" localSheetId="12">ReWi!$U$34</definedName>
    <definedName name="SemWiwi_220.10">WiWi!$R$34</definedName>
    <definedName name="SemWiwi_230.10" localSheetId="17">KSW!$V$34</definedName>
    <definedName name="SemWiwi_230.10" localSheetId="11">M_I!$V$43</definedName>
    <definedName name="SemWiwi_230.10" localSheetId="15">PSY!$V$34</definedName>
    <definedName name="SemWiwi_230.10" localSheetId="12">ReWi!$V$34</definedName>
    <definedName name="SemWiwi_230.10">WiWi!$S$34</definedName>
    <definedName name="SemWiwi_551.10" localSheetId="17">KSW!$W$34</definedName>
    <definedName name="SemWiwi_551.10" localSheetId="11">M_I!$W$43</definedName>
    <definedName name="SemWiwi_551.10" localSheetId="15">PSY!$W$34</definedName>
    <definedName name="SemWiwi_551.10" localSheetId="12">ReWi!$W$34</definedName>
    <definedName name="SemWiwi_551.10">WiWi!$T$34</definedName>
    <definedName name="SemWiwi_551.20" localSheetId="17">KSW!$X$34</definedName>
    <definedName name="SemWiwi_551.20" localSheetId="11">M_I!$X$43</definedName>
    <definedName name="SemWiwi_551.20" localSheetId="15">PSY!$X$34</definedName>
    <definedName name="SemWiwi_551.20" localSheetId="12">ReWi!$X$34</definedName>
    <definedName name="SemWiwi_551.20">WiWi!$U$34</definedName>
    <definedName name="SemWiwi_551.30" localSheetId="17">KSW!$Y$34</definedName>
    <definedName name="SemWiwi_551.30" localSheetId="11">M_I!$Y$43</definedName>
    <definedName name="SemWiwi_551.30" localSheetId="15">PSY!$Y$34</definedName>
    <definedName name="SemWiwi_551.30" localSheetId="12">ReWi!$Y$34</definedName>
    <definedName name="SemWiwi_551.30">WiWi!$V$34</definedName>
    <definedName name="SemWiwi_551.40" localSheetId="17">KSW!$Z$34</definedName>
    <definedName name="SemWiwi_551.40" localSheetId="11">M_I!$Z$43</definedName>
    <definedName name="SemWiwi_551.40" localSheetId="15">PSY!$Z$34</definedName>
    <definedName name="SemWiwi_551.40" localSheetId="12">ReWi!$Z$34</definedName>
    <definedName name="SemWiwi_551.40">WiWi!$W$34</definedName>
    <definedName name="SemWiwi_551.50" localSheetId="17">KSW!$AA$34</definedName>
    <definedName name="SemWiwi_551.50" localSheetId="11">M_I!$AA$43</definedName>
    <definedName name="SemWiwi_551.50" localSheetId="15">PSY!$AA$34</definedName>
    <definedName name="SemWiwi_551.50" localSheetId="12">ReWi!$AA$34</definedName>
    <definedName name="SemWiwi_551.50">WiWi!$X$34</definedName>
    <definedName name="SemWiwi_551.60" localSheetId="17">KSW!$AB$34</definedName>
    <definedName name="SemWiwi_551.60" localSheetId="11">M_I!$AB$43</definedName>
    <definedName name="SemWiwi_551.60" localSheetId="15">PSY!$AB$34</definedName>
    <definedName name="SemWiwi_551.60" localSheetId="12">ReWi!$AB$34</definedName>
    <definedName name="SemWiwi_551.60">WiWi!$Y$34</definedName>
    <definedName name="SozVers_Besch.">Haushalt!$H$105</definedName>
    <definedName name="SozVers_Beschäft.">Haushalt!$H$105</definedName>
    <definedName name="Steuern_Besch.">Haushalt!$H$104</definedName>
    <definedName name="Steuern_Beschäft.">Haushalt!$H$104</definedName>
    <definedName name="ttz" localSheetId="10">Tabelle211123957[[#Totals],[Betrag]]</definedName>
    <definedName name="ttz">Tabelle211123957[[#Totals],[Betrag]]</definedName>
    <definedName name="Wiwi_AE_var">Haushalt!$H$89</definedName>
    <definedName name="Wiwi_Bew.Ext.">Haushalt!$H$203</definedName>
    <definedName name="Wiwi_Bew.Int.">Haushalt!$H$161</definedName>
    <definedName name="Wiwi_Druck">Haushalt!$H$215</definedName>
    <definedName name="Wiwi_Ext.RK">Haushalt!$H$197</definedName>
    <definedName name="Wiwi_Hon_I">Haushalt!$H$185</definedName>
    <definedName name="Wiwi_Hon_II">Haushalt!$H$191</definedName>
    <definedName name="Wiwi_R_U_Ext.">Haushalt!$H$209</definedName>
    <definedName name="Wiwi_R_U_Int.">Haushalt!$H$149</definedName>
    <definedName name="Wiwi_RK_Int.">Haushalt!$H$137</definedName>
    <definedName name="Wiwi_Sonst.">Haushalt!$H$221</definedName>
    <definedName name="Wiwi_Sonst_Einnahmen">Haushalt!$H$52</definedName>
    <definedName name="Wiwi_TN_Beiträge_I">Haushalt!$H$38</definedName>
    <definedName name="Wiwi_TN_Beiträge_II">Haushalt!$H$45</definedName>
    <definedName name="Zuschüsse_Campus">Referatspläne!$C$136</definedName>
    <definedName name="zz" localSheetId="8">Tabelle16[[#Totals],[Beträge/Budget]]</definedName>
    <definedName name="zz" localSheetId="9">Tabelle16[[#Totals],[Beträge/Budget]]</definedName>
    <definedName name="zz" localSheetId="10">Tabelle16[[#Totals],[Beträge/Budget]]</definedName>
    <definedName name="zz">Tabelle16[[#Totals],[Beträge/Budget]]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C77" i="76" l="1"/>
  <c r="C71" i="76"/>
  <c r="C65" i="76"/>
  <c r="C5" i="76"/>
  <c r="C11" i="76"/>
  <c r="C17" i="76"/>
  <c r="C23" i="76"/>
  <c r="C59" i="76"/>
  <c r="C53" i="76"/>
  <c r="C47" i="76"/>
  <c r="C41" i="76"/>
  <c r="C35" i="76"/>
  <c r="C29" i="76"/>
  <c r="E23" i="66"/>
  <c r="G15" i="3"/>
  <c r="G16" i="3"/>
  <c r="G17" i="3"/>
  <c r="G18" i="3"/>
  <c r="F19" i="3"/>
  <c r="E14" i="3"/>
  <c r="G14" i="3" s="1"/>
  <c r="E17" i="3"/>
  <c r="E15" i="3"/>
  <c r="E16" i="3"/>
  <c r="E19" i="3" l="1"/>
  <c r="AG348" i="75" l="1"/>
  <c r="M21" i="75" s="1"/>
  <c r="AC348" i="75"/>
  <c r="G348" i="75"/>
  <c r="AI347" i="75"/>
  <c r="AG347" i="75"/>
  <c r="AE347" i="75"/>
  <c r="AE348" i="75" s="1"/>
  <c r="M20" i="75" s="1"/>
  <c r="AC347" i="75"/>
  <c r="AA347" i="75"/>
  <c r="AA348" i="75" s="1"/>
  <c r="M18" i="75" s="1"/>
  <c r="Y347" i="75"/>
  <c r="Y348" i="75" s="1"/>
  <c r="M17" i="75" s="1"/>
  <c r="W347" i="75"/>
  <c r="W348" i="75" s="1"/>
  <c r="M16" i="75" s="1"/>
  <c r="U347" i="75"/>
  <c r="S347" i="75"/>
  <c r="S348" i="75" s="1"/>
  <c r="M14" i="75" s="1"/>
  <c r="Q347" i="75"/>
  <c r="Q348" i="75" s="1"/>
  <c r="M13" i="75" s="1"/>
  <c r="O347" i="75"/>
  <c r="O348" i="75" s="1"/>
  <c r="M12" i="75" s="1"/>
  <c r="M347" i="75"/>
  <c r="M348" i="75" s="1"/>
  <c r="K347" i="75"/>
  <c r="I347" i="75"/>
  <c r="I348" i="75" s="1"/>
  <c r="M7" i="75" s="1"/>
  <c r="G347" i="75"/>
  <c r="E347" i="75"/>
  <c r="E348" i="75" s="1"/>
  <c r="M5" i="75" s="1"/>
  <c r="M8" i="75" s="1"/>
  <c r="AI338" i="75"/>
  <c r="AI348" i="75" s="1"/>
  <c r="M22" i="75" s="1"/>
  <c r="AG338" i="75"/>
  <c r="AE338" i="75"/>
  <c r="AC338" i="75"/>
  <c r="AA338" i="75"/>
  <c r="Y338" i="75"/>
  <c r="W338" i="75"/>
  <c r="U338" i="75"/>
  <c r="S338" i="75"/>
  <c r="Q338" i="75"/>
  <c r="O338" i="75"/>
  <c r="M338" i="75"/>
  <c r="K338" i="75"/>
  <c r="I338" i="75"/>
  <c r="G338" i="75"/>
  <c r="E338" i="75"/>
  <c r="AJ327" i="75"/>
  <c r="AI327" i="75"/>
  <c r="AH327" i="75"/>
  <c r="AG327" i="75"/>
  <c r="AF327" i="75"/>
  <c r="AE327" i="75"/>
  <c r="AD327" i="75"/>
  <c r="AC327" i="75"/>
  <c r="AB327" i="75"/>
  <c r="AA327" i="75"/>
  <c r="Z327" i="75"/>
  <c r="Y327" i="75"/>
  <c r="X327" i="75"/>
  <c r="W327" i="75"/>
  <c r="V327" i="75"/>
  <c r="U327" i="75"/>
  <c r="U348" i="75" s="1"/>
  <c r="M15" i="75" s="1"/>
  <c r="T327" i="75"/>
  <c r="S327" i="75"/>
  <c r="R327" i="75"/>
  <c r="Q327" i="75"/>
  <c r="P327" i="75"/>
  <c r="O327" i="75"/>
  <c r="N327" i="75"/>
  <c r="M327" i="75"/>
  <c r="L327" i="75"/>
  <c r="K327" i="75"/>
  <c r="J327" i="75"/>
  <c r="I327" i="75"/>
  <c r="H327" i="75"/>
  <c r="G327" i="75"/>
  <c r="F327" i="75"/>
  <c r="E327" i="75"/>
  <c r="AL324" i="75"/>
  <c r="AK324" i="75"/>
  <c r="AL323" i="75"/>
  <c r="AK323" i="75"/>
  <c r="AL322" i="75"/>
  <c r="AK322" i="75"/>
  <c r="AL321" i="75"/>
  <c r="AK321" i="75"/>
  <c r="AL320" i="75"/>
  <c r="AK320" i="75"/>
  <c r="AL319" i="75"/>
  <c r="AK319" i="75"/>
  <c r="AL318" i="75"/>
  <c r="AK318" i="75"/>
  <c r="AL317" i="75"/>
  <c r="AK317" i="75"/>
  <c r="AL316" i="75"/>
  <c r="AK316" i="75"/>
  <c r="AL315" i="75"/>
  <c r="AK315" i="75"/>
  <c r="AL314" i="75"/>
  <c r="AK314" i="75"/>
  <c r="AL313" i="75"/>
  <c r="AK313" i="75"/>
  <c r="AL312" i="75"/>
  <c r="AK312" i="75"/>
  <c r="AL311" i="75"/>
  <c r="AK311" i="75"/>
  <c r="AL310" i="75"/>
  <c r="AK310" i="75"/>
  <c r="AL309" i="75"/>
  <c r="AK309" i="75"/>
  <c r="AL308" i="75"/>
  <c r="AK308" i="75"/>
  <c r="AL307" i="75"/>
  <c r="AK307" i="75"/>
  <c r="AL306" i="75"/>
  <c r="AK306" i="75"/>
  <c r="AL305" i="75"/>
  <c r="AK305" i="75"/>
  <c r="AL304" i="75"/>
  <c r="AK304" i="75"/>
  <c r="AL303" i="75"/>
  <c r="AK303" i="75"/>
  <c r="AL302" i="75"/>
  <c r="AK302" i="75"/>
  <c r="AL301" i="75"/>
  <c r="AK301" i="75"/>
  <c r="AL300" i="75"/>
  <c r="AK300" i="75"/>
  <c r="AL299" i="75"/>
  <c r="AK299" i="75"/>
  <c r="AL298" i="75"/>
  <c r="AK298" i="75"/>
  <c r="AL297" i="75"/>
  <c r="AK297" i="75"/>
  <c r="AL296" i="75"/>
  <c r="AK296" i="75"/>
  <c r="AL295" i="75"/>
  <c r="AK295" i="75"/>
  <c r="AL294" i="75"/>
  <c r="AK294" i="75"/>
  <c r="AL293" i="75"/>
  <c r="AK293" i="75"/>
  <c r="AL292" i="75"/>
  <c r="AK292" i="75"/>
  <c r="AL291" i="75"/>
  <c r="AK291" i="75"/>
  <c r="AL290" i="75"/>
  <c r="AK290" i="75"/>
  <c r="AL289" i="75"/>
  <c r="AK289" i="75"/>
  <c r="AL288" i="75"/>
  <c r="AK288" i="75"/>
  <c r="AL287" i="75"/>
  <c r="AK287" i="75"/>
  <c r="AL286" i="75"/>
  <c r="AK286" i="75"/>
  <c r="AL285" i="75"/>
  <c r="AK285" i="75"/>
  <c r="AL284" i="75"/>
  <c r="AK284" i="75"/>
  <c r="AL283" i="75"/>
  <c r="AK283" i="75"/>
  <c r="AL282" i="75"/>
  <c r="AK282" i="75"/>
  <c r="AL281" i="75"/>
  <c r="AK281" i="75"/>
  <c r="AL280" i="75"/>
  <c r="AK280" i="75"/>
  <c r="AL279" i="75"/>
  <c r="AK279" i="75"/>
  <c r="AL278" i="75"/>
  <c r="AK278" i="75"/>
  <c r="AL277" i="75"/>
  <c r="AK277" i="75"/>
  <c r="AL276" i="75"/>
  <c r="AK276" i="75"/>
  <c r="AL275" i="75"/>
  <c r="AL327" i="75" s="1"/>
  <c r="AK275" i="75"/>
  <c r="AK327" i="75" s="1"/>
  <c r="M269" i="75"/>
  <c r="E269" i="75"/>
  <c r="AL268" i="75"/>
  <c r="AI268" i="75"/>
  <c r="AI269" i="75" s="1"/>
  <c r="J22" i="75" s="1"/>
  <c r="AG268" i="75"/>
  <c r="AE268" i="75"/>
  <c r="AC268" i="75"/>
  <c r="AC269" i="75" s="1"/>
  <c r="J19" i="75" s="1"/>
  <c r="AA268" i="75"/>
  <c r="AA269" i="75" s="1"/>
  <c r="J18" i="75" s="1"/>
  <c r="Y268" i="75"/>
  <c r="Y269" i="75" s="1"/>
  <c r="J17" i="75" s="1"/>
  <c r="W268" i="75"/>
  <c r="W269" i="75" s="1"/>
  <c r="J16" i="75" s="1"/>
  <c r="U268" i="75"/>
  <c r="S268" i="75"/>
  <c r="S269" i="75" s="1"/>
  <c r="J14" i="75" s="1"/>
  <c r="Q268" i="75"/>
  <c r="Q269" i="75" s="1"/>
  <c r="J13" i="75" s="1"/>
  <c r="O268" i="75"/>
  <c r="M268" i="75"/>
  <c r="K268" i="75"/>
  <c r="I268" i="75"/>
  <c r="I269" i="75" s="1"/>
  <c r="J7" i="75" s="1"/>
  <c r="G268" i="75"/>
  <c r="G269" i="75" s="1"/>
  <c r="J6" i="75" s="1"/>
  <c r="E268" i="75"/>
  <c r="AK268" i="75" s="1"/>
  <c r="AL267" i="75"/>
  <c r="AK267" i="75"/>
  <c r="AL266" i="75"/>
  <c r="AK266" i="75"/>
  <c r="AL265" i="75"/>
  <c r="AK265" i="75"/>
  <c r="AL264" i="75"/>
  <c r="AK264" i="75"/>
  <c r="AL263" i="75"/>
  <c r="AK263" i="75"/>
  <c r="AL262" i="75"/>
  <c r="AK262" i="75"/>
  <c r="AL261" i="75"/>
  <c r="AK261" i="75"/>
  <c r="AL260" i="75"/>
  <c r="AK260" i="75"/>
  <c r="AL259" i="75"/>
  <c r="AI259" i="75"/>
  <c r="AG259" i="75"/>
  <c r="AE259" i="75"/>
  <c r="AE269" i="75" s="1"/>
  <c r="J20" i="75" s="1"/>
  <c r="AC259" i="75"/>
  <c r="AA259" i="75"/>
  <c r="Y259" i="75"/>
  <c r="W259" i="75"/>
  <c r="U259" i="75"/>
  <c r="U269" i="75" s="1"/>
  <c r="J15" i="75" s="1"/>
  <c r="S259" i="75"/>
  <c r="Q259" i="75"/>
  <c r="O259" i="75"/>
  <c r="M259" i="75"/>
  <c r="K259" i="75"/>
  <c r="I259" i="75"/>
  <c r="G259" i="75"/>
  <c r="AK259" i="75" s="1"/>
  <c r="E259" i="75"/>
  <c r="AL258" i="75"/>
  <c r="AK258" i="75"/>
  <c r="AL257" i="75"/>
  <c r="AK257" i="75"/>
  <c r="AL256" i="75"/>
  <c r="AK256" i="75"/>
  <c r="AL255" i="75"/>
  <c r="AK255" i="75"/>
  <c r="AL254" i="75"/>
  <c r="AK254" i="75"/>
  <c r="AL253" i="75"/>
  <c r="AK253" i="75"/>
  <c r="AL252" i="75"/>
  <c r="AK252" i="75"/>
  <c r="AL251" i="75"/>
  <c r="AK251" i="75"/>
  <c r="AL250" i="75"/>
  <c r="AK250" i="75"/>
  <c r="AL249" i="75"/>
  <c r="AK249" i="75"/>
  <c r="AJ248" i="75"/>
  <c r="AI248" i="75"/>
  <c r="AH248" i="75"/>
  <c r="AG248" i="75"/>
  <c r="AG269" i="75" s="1"/>
  <c r="J21" i="75" s="1"/>
  <c r="AF248" i="75"/>
  <c r="AE248" i="75"/>
  <c r="AD248" i="75"/>
  <c r="AC248" i="75"/>
  <c r="AB248" i="75"/>
  <c r="AA248" i="75"/>
  <c r="Z248" i="75"/>
  <c r="Y248" i="75"/>
  <c r="X248" i="75"/>
  <c r="W248" i="75"/>
  <c r="V248" i="75"/>
  <c r="U248" i="75"/>
  <c r="T248" i="75"/>
  <c r="S248" i="75"/>
  <c r="R248" i="75"/>
  <c r="Q248" i="75"/>
  <c r="P248" i="75"/>
  <c r="O248" i="75"/>
  <c r="O269" i="75" s="1"/>
  <c r="J12" i="75" s="1"/>
  <c r="J23" i="75" s="1"/>
  <c r="N248" i="75"/>
  <c r="M248" i="75"/>
  <c r="L248" i="75"/>
  <c r="K248" i="75"/>
  <c r="J248" i="75"/>
  <c r="I248" i="75"/>
  <c r="H248" i="75"/>
  <c r="G248" i="75"/>
  <c r="F248" i="75"/>
  <c r="AL248" i="75" s="1"/>
  <c r="E248" i="75"/>
  <c r="AK248" i="75" s="1"/>
  <c r="AL247" i="75"/>
  <c r="AK247" i="75"/>
  <c r="AL246" i="75"/>
  <c r="AK246" i="75"/>
  <c r="AL245" i="75"/>
  <c r="AK245" i="75"/>
  <c r="AL244" i="75"/>
  <c r="AK244" i="75"/>
  <c r="AL243" i="75"/>
  <c r="AK243" i="75"/>
  <c r="AL242" i="75"/>
  <c r="AK242" i="75"/>
  <c r="AL241" i="75"/>
  <c r="AK241" i="75"/>
  <c r="AL240" i="75"/>
  <c r="AK240" i="75"/>
  <c r="AL239" i="75"/>
  <c r="AK239" i="75"/>
  <c r="AL238" i="75"/>
  <c r="AK238" i="75"/>
  <c r="AL237" i="75"/>
  <c r="AK237" i="75"/>
  <c r="AL236" i="75"/>
  <c r="AK236" i="75"/>
  <c r="AL235" i="75"/>
  <c r="AK235" i="75"/>
  <c r="AL234" i="75"/>
  <c r="AK234" i="75"/>
  <c r="AL233" i="75"/>
  <c r="AK233" i="75"/>
  <c r="AL232" i="75"/>
  <c r="AK232" i="75"/>
  <c r="AL231" i="75"/>
  <c r="AK231" i="75"/>
  <c r="AL230" i="75"/>
  <c r="AK230" i="75"/>
  <c r="AL229" i="75"/>
  <c r="AK229" i="75"/>
  <c r="AL228" i="75"/>
  <c r="AK228" i="75"/>
  <c r="AL227" i="75"/>
  <c r="AK227" i="75"/>
  <c r="AL226" i="75"/>
  <c r="AK226" i="75"/>
  <c r="AL225" i="75"/>
  <c r="AK225" i="75"/>
  <c r="AL224" i="75"/>
  <c r="AK224" i="75"/>
  <c r="AL223" i="75"/>
  <c r="AK223" i="75"/>
  <c r="AL222" i="75"/>
  <c r="AK222" i="75"/>
  <c r="AL221" i="75"/>
  <c r="AK221" i="75"/>
  <c r="AL220" i="75"/>
  <c r="AK220" i="75"/>
  <c r="AL219" i="75"/>
  <c r="AK219" i="75"/>
  <c r="AL218" i="75"/>
  <c r="AK218" i="75"/>
  <c r="AL217" i="75"/>
  <c r="AK217" i="75"/>
  <c r="AL216" i="75"/>
  <c r="AK216" i="75"/>
  <c r="AL215" i="75"/>
  <c r="AK215" i="75"/>
  <c r="AL214" i="75"/>
  <c r="AK214" i="75"/>
  <c r="AL213" i="75"/>
  <c r="AK213" i="75"/>
  <c r="AL212" i="75"/>
  <c r="AK212" i="75"/>
  <c r="AL211" i="75"/>
  <c r="AK211" i="75"/>
  <c r="AL210" i="75"/>
  <c r="AK210" i="75"/>
  <c r="AL209" i="75"/>
  <c r="AK209" i="75"/>
  <c r="AL208" i="75"/>
  <c r="AK208" i="75"/>
  <c r="AL207" i="75"/>
  <c r="AK207" i="75"/>
  <c r="AL206" i="75"/>
  <c r="AK206" i="75"/>
  <c r="AL205" i="75"/>
  <c r="AK205" i="75"/>
  <c r="AL204" i="75"/>
  <c r="AK204" i="75"/>
  <c r="AL203" i="75"/>
  <c r="AK203" i="75"/>
  <c r="AL202" i="75"/>
  <c r="AK202" i="75"/>
  <c r="AL201" i="75"/>
  <c r="AK201" i="75"/>
  <c r="AL200" i="75"/>
  <c r="AK200" i="75"/>
  <c r="AL199" i="75"/>
  <c r="AK199" i="75"/>
  <c r="AL198" i="75"/>
  <c r="AK198" i="75"/>
  <c r="AL197" i="75"/>
  <c r="AK197" i="75"/>
  <c r="AL196" i="75"/>
  <c r="AK196" i="75"/>
  <c r="AG190" i="75"/>
  <c r="H21" i="75" s="1"/>
  <c r="AC190" i="75"/>
  <c r="AA190" i="75"/>
  <c r="G190" i="75"/>
  <c r="H6" i="75" s="1"/>
  <c r="AI189" i="75"/>
  <c r="AG189" i="75"/>
  <c r="AE189" i="75"/>
  <c r="AE190" i="75" s="1"/>
  <c r="H20" i="75" s="1"/>
  <c r="AC189" i="75"/>
  <c r="AA189" i="75"/>
  <c r="Y189" i="75"/>
  <c r="Y190" i="75" s="1"/>
  <c r="H17" i="75" s="1"/>
  <c r="W189" i="75"/>
  <c r="W190" i="75" s="1"/>
  <c r="H16" i="75" s="1"/>
  <c r="U189" i="75"/>
  <c r="S189" i="75"/>
  <c r="S190" i="75" s="1"/>
  <c r="H14" i="75" s="1"/>
  <c r="Q189" i="75"/>
  <c r="Q190" i="75" s="1"/>
  <c r="H13" i="75" s="1"/>
  <c r="O189" i="75"/>
  <c r="O190" i="75" s="1"/>
  <c r="H12" i="75" s="1"/>
  <c r="M189" i="75"/>
  <c r="M190" i="75" s="1"/>
  <c r="K189" i="75"/>
  <c r="I189" i="75"/>
  <c r="I190" i="75" s="1"/>
  <c r="H7" i="75" s="1"/>
  <c r="G189" i="75"/>
  <c r="E189" i="75"/>
  <c r="E190" i="75" s="1"/>
  <c r="H5" i="75" s="1"/>
  <c r="AI180" i="75"/>
  <c r="AI190" i="75" s="1"/>
  <c r="H22" i="75" s="1"/>
  <c r="AG180" i="75"/>
  <c r="AE180" i="75"/>
  <c r="AC180" i="75"/>
  <c r="AA180" i="75"/>
  <c r="Y180" i="75"/>
  <c r="W180" i="75"/>
  <c r="U180" i="75"/>
  <c r="S180" i="75"/>
  <c r="Q180" i="75"/>
  <c r="O180" i="75"/>
  <c r="M180" i="75"/>
  <c r="K180" i="75"/>
  <c r="I180" i="75"/>
  <c r="G180" i="75"/>
  <c r="E180" i="75"/>
  <c r="AJ169" i="75"/>
  <c r="AI169" i="75"/>
  <c r="AH169" i="75"/>
  <c r="AG169" i="75"/>
  <c r="AF169" i="75"/>
  <c r="AE169" i="75"/>
  <c r="AD169" i="75"/>
  <c r="AC169" i="75"/>
  <c r="AB169" i="75"/>
  <c r="AA169" i="75"/>
  <c r="Z169" i="75"/>
  <c r="Y169" i="75"/>
  <c r="X169" i="75"/>
  <c r="W169" i="75"/>
  <c r="V169" i="75"/>
  <c r="U169" i="75"/>
  <c r="U190" i="75" s="1"/>
  <c r="H15" i="75" s="1"/>
  <c r="T169" i="75"/>
  <c r="S169" i="75"/>
  <c r="R169" i="75"/>
  <c r="Q169" i="75"/>
  <c r="P169" i="75"/>
  <c r="O169" i="75"/>
  <c r="N169" i="75"/>
  <c r="M169" i="75"/>
  <c r="L169" i="75"/>
  <c r="K169" i="75"/>
  <c r="J169" i="75"/>
  <c r="I169" i="75"/>
  <c r="H169" i="75"/>
  <c r="G169" i="75"/>
  <c r="F169" i="75"/>
  <c r="E169" i="75"/>
  <c r="AL166" i="75"/>
  <c r="AK166" i="75"/>
  <c r="AL165" i="75"/>
  <c r="AK165" i="75"/>
  <c r="AL164" i="75"/>
  <c r="AK164" i="75"/>
  <c r="AL163" i="75"/>
  <c r="AK163" i="75"/>
  <c r="AL162" i="75"/>
  <c r="AK162" i="75"/>
  <c r="AL161" i="75"/>
  <c r="AK161" i="75"/>
  <c r="AL160" i="75"/>
  <c r="AK160" i="75"/>
  <c r="AL159" i="75"/>
  <c r="AK159" i="75"/>
  <c r="AL158" i="75"/>
  <c r="AK158" i="75"/>
  <c r="AL157" i="75"/>
  <c r="AK157" i="75"/>
  <c r="AL156" i="75"/>
  <c r="AK156" i="75"/>
  <c r="AL155" i="75"/>
  <c r="AK155" i="75"/>
  <c r="AL154" i="75"/>
  <c r="AK154" i="75"/>
  <c r="AL153" i="75"/>
  <c r="AK153" i="75"/>
  <c r="AL152" i="75"/>
  <c r="AK152" i="75"/>
  <c r="AL151" i="75"/>
  <c r="AK151" i="75"/>
  <c r="AL150" i="75"/>
  <c r="AK150" i="75"/>
  <c r="AL149" i="75"/>
  <c r="AK149" i="75"/>
  <c r="AL148" i="75"/>
  <c r="AK148" i="75"/>
  <c r="AL147" i="75"/>
  <c r="AK147" i="75"/>
  <c r="AL146" i="75"/>
  <c r="AK146" i="75"/>
  <c r="AL145" i="75"/>
  <c r="AK145" i="75"/>
  <c r="AL144" i="75"/>
  <c r="AK144" i="75"/>
  <c r="AL143" i="75"/>
  <c r="AK143" i="75"/>
  <c r="AL142" i="75"/>
  <c r="AK142" i="75"/>
  <c r="AL141" i="75"/>
  <c r="AK141" i="75"/>
  <c r="AL140" i="75"/>
  <c r="AK140" i="75"/>
  <c r="AL139" i="75"/>
  <c r="AK139" i="75"/>
  <c r="AL138" i="75"/>
  <c r="AK138" i="75"/>
  <c r="AL137" i="75"/>
  <c r="AK137" i="75"/>
  <c r="AL136" i="75"/>
  <c r="AK136" i="75"/>
  <c r="AL135" i="75"/>
  <c r="AK135" i="75"/>
  <c r="AL134" i="75"/>
  <c r="AK134" i="75"/>
  <c r="AL133" i="75"/>
  <c r="AK133" i="75"/>
  <c r="AL132" i="75"/>
  <c r="AK132" i="75"/>
  <c r="AL131" i="75"/>
  <c r="AK131" i="75"/>
  <c r="AL130" i="75"/>
  <c r="AK130" i="75"/>
  <c r="AL129" i="75"/>
  <c r="AK129" i="75"/>
  <c r="AL128" i="75"/>
  <c r="AK128" i="75"/>
  <c r="AL127" i="75"/>
  <c r="AK127" i="75"/>
  <c r="AL126" i="75"/>
  <c r="AK126" i="75"/>
  <c r="AL125" i="75"/>
  <c r="AK125" i="75"/>
  <c r="AL124" i="75"/>
  <c r="AK124" i="75"/>
  <c r="AL123" i="75"/>
  <c r="AK123" i="75"/>
  <c r="AL122" i="75"/>
  <c r="AK122" i="75"/>
  <c r="AL121" i="75"/>
  <c r="AK121" i="75"/>
  <c r="AL120" i="75"/>
  <c r="AK120" i="75"/>
  <c r="AL119" i="75"/>
  <c r="AK119" i="75"/>
  <c r="AL118" i="75"/>
  <c r="AK118" i="75"/>
  <c r="AL117" i="75"/>
  <c r="AL169" i="75" s="1"/>
  <c r="AK117" i="75"/>
  <c r="AK169" i="75" s="1"/>
  <c r="W111" i="75"/>
  <c r="F16" i="75" s="1"/>
  <c r="M111" i="75"/>
  <c r="AI110" i="75"/>
  <c r="AI111" i="75" s="1"/>
  <c r="F22" i="75" s="1"/>
  <c r="AH110" i="75"/>
  <c r="AG110" i="75"/>
  <c r="AF110" i="75"/>
  <c r="AE110" i="75"/>
  <c r="AD110" i="75"/>
  <c r="AC110" i="75"/>
  <c r="AB110" i="75"/>
  <c r="AA110" i="75"/>
  <c r="Z110" i="75"/>
  <c r="Y110" i="75"/>
  <c r="Y111" i="75" s="1"/>
  <c r="F17" i="75" s="1"/>
  <c r="X110" i="75"/>
  <c r="W110" i="75"/>
  <c r="V110" i="75"/>
  <c r="U110" i="75"/>
  <c r="T110" i="75"/>
  <c r="S110" i="75"/>
  <c r="R110" i="75"/>
  <c r="Q110" i="75"/>
  <c r="P110" i="75"/>
  <c r="O110" i="75"/>
  <c r="N110" i="75"/>
  <c r="M110" i="75"/>
  <c r="L110" i="75"/>
  <c r="K110" i="75"/>
  <c r="J110" i="75"/>
  <c r="I110" i="75"/>
  <c r="H110" i="75"/>
  <c r="G110" i="75"/>
  <c r="F110" i="75"/>
  <c r="E110" i="75"/>
  <c r="AL109" i="75"/>
  <c r="AK109" i="75"/>
  <c r="AL108" i="75"/>
  <c r="AK108" i="75"/>
  <c r="AL107" i="75"/>
  <c r="AK107" i="75"/>
  <c r="AL106" i="75"/>
  <c r="AK106" i="75"/>
  <c r="AL105" i="75"/>
  <c r="AK105" i="75"/>
  <c r="AL104" i="75"/>
  <c r="AK104" i="75"/>
  <c r="AL103" i="75"/>
  <c r="AK103" i="75"/>
  <c r="AL102" i="75"/>
  <c r="AL110" i="75" s="1"/>
  <c r="AK102" i="75"/>
  <c r="AK110" i="75" s="1"/>
  <c r="AJ101" i="75"/>
  <c r="AI101" i="75"/>
  <c r="AH101" i="75"/>
  <c r="AG101" i="75"/>
  <c r="AF101" i="75"/>
  <c r="AE101" i="75"/>
  <c r="AE111" i="75" s="1"/>
  <c r="F20" i="75" s="1"/>
  <c r="AD101" i="75"/>
  <c r="AC101" i="75"/>
  <c r="AB101" i="75"/>
  <c r="AA101" i="75"/>
  <c r="Z101" i="75"/>
  <c r="Y101" i="75"/>
  <c r="X101" i="75"/>
  <c r="W101" i="75"/>
  <c r="V101" i="75"/>
  <c r="U101" i="75"/>
  <c r="T101" i="75"/>
  <c r="S101" i="75"/>
  <c r="R101" i="75"/>
  <c r="Q101" i="75"/>
  <c r="P101" i="75"/>
  <c r="O101" i="75"/>
  <c r="N101" i="75"/>
  <c r="M101" i="75"/>
  <c r="L101" i="75"/>
  <c r="K101" i="75"/>
  <c r="J101" i="75"/>
  <c r="I101" i="75"/>
  <c r="H101" i="75"/>
  <c r="G101" i="75"/>
  <c r="F101" i="75"/>
  <c r="E101" i="75"/>
  <c r="AL100" i="75"/>
  <c r="AK100" i="75"/>
  <c r="AL99" i="75"/>
  <c r="AK99" i="75"/>
  <c r="AL98" i="75"/>
  <c r="AK98" i="75"/>
  <c r="AL97" i="75"/>
  <c r="AK97" i="75"/>
  <c r="AL96" i="75"/>
  <c r="AK96" i="75"/>
  <c r="AL95" i="75"/>
  <c r="AK95" i="75"/>
  <c r="AL94" i="75"/>
  <c r="AK94" i="75"/>
  <c r="AL93" i="75"/>
  <c r="AK93" i="75"/>
  <c r="AK101" i="75" s="1"/>
  <c r="AL92" i="75"/>
  <c r="AK92" i="75"/>
  <c r="AL91" i="75"/>
  <c r="AL101" i="75" s="1"/>
  <c r="AK91" i="75"/>
  <c r="AJ90" i="75"/>
  <c r="AI90" i="75"/>
  <c r="AH90" i="75"/>
  <c r="AG90" i="75"/>
  <c r="AF90" i="75"/>
  <c r="AE90" i="75"/>
  <c r="AD90" i="75"/>
  <c r="AC90" i="75"/>
  <c r="AB90" i="75"/>
  <c r="AA90" i="75"/>
  <c r="Z90" i="75"/>
  <c r="Y90" i="75"/>
  <c r="X90" i="75"/>
  <c r="V90" i="75"/>
  <c r="U90" i="75"/>
  <c r="T90" i="75"/>
  <c r="S90" i="75"/>
  <c r="R90" i="75"/>
  <c r="Q90" i="75"/>
  <c r="P90" i="75"/>
  <c r="O90" i="75"/>
  <c r="N90" i="75"/>
  <c r="M90" i="75"/>
  <c r="L90" i="75"/>
  <c r="K90" i="75"/>
  <c r="J90" i="75"/>
  <c r="I90" i="75"/>
  <c r="H90" i="75"/>
  <c r="G90" i="75"/>
  <c r="F90" i="75"/>
  <c r="E90" i="75"/>
  <c r="AL87" i="75"/>
  <c r="AK87" i="75"/>
  <c r="AL86" i="75"/>
  <c r="AK86" i="75"/>
  <c r="AL85" i="75"/>
  <c r="AK85" i="75"/>
  <c r="AL84" i="75"/>
  <c r="AK84" i="75"/>
  <c r="AL83" i="75"/>
  <c r="AK83" i="75"/>
  <c r="AL82" i="75"/>
  <c r="AK82" i="75"/>
  <c r="AL81" i="75"/>
  <c r="AK81" i="75"/>
  <c r="AL80" i="75"/>
  <c r="AK80" i="75"/>
  <c r="AL79" i="75"/>
  <c r="AK79" i="75"/>
  <c r="AL78" i="75"/>
  <c r="AK78" i="75"/>
  <c r="AL77" i="75"/>
  <c r="AK77" i="75"/>
  <c r="AL76" i="75"/>
  <c r="AK76" i="75"/>
  <c r="AL75" i="75"/>
  <c r="AK75" i="75"/>
  <c r="AL74" i="75"/>
  <c r="AK74" i="75"/>
  <c r="AL73" i="75"/>
  <c r="AK73" i="75"/>
  <c r="AL72" i="75"/>
  <c r="AK72" i="75"/>
  <c r="AL71" i="75"/>
  <c r="AK71" i="75"/>
  <c r="AL70" i="75"/>
  <c r="AK70" i="75"/>
  <c r="AL69" i="75"/>
  <c r="AK69" i="75"/>
  <c r="AL68" i="75"/>
  <c r="AK68" i="75"/>
  <c r="AL67" i="75"/>
  <c r="AK67" i="75"/>
  <c r="AL66" i="75"/>
  <c r="AK66" i="75"/>
  <c r="AL65" i="75"/>
  <c r="AK65" i="75"/>
  <c r="AL64" i="75"/>
  <c r="AK64" i="75"/>
  <c r="AL63" i="75"/>
  <c r="AK63" i="75"/>
  <c r="AL62" i="75"/>
  <c r="AK62" i="75"/>
  <c r="AL61" i="75"/>
  <c r="AK61" i="75"/>
  <c r="AL60" i="75"/>
  <c r="AK60" i="75"/>
  <c r="AL59" i="75"/>
  <c r="AK59" i="75"/>
  <c r="AL58" i="75"/>
  <c r="AK58" i="75"/>
  <c r="AL57" i="75"/>
  <c r="AK57" i="75"/>
  <c r="AL56" i="75"/>
  <c r="AK56" i="75"/>
  <c r="AL55" i="75"/>
  <c r="AK55" i="75"/>
  <c r="AL54" i="75"/>
  <c r="AK54" i="75"/>
  <c r="AL53" i="75"/>
  <c r="AK53" i="75"/>
  <c r="AL52" i="75"/>
  <c r="AK52" i="75"/>
  <c r="AL51" i="75"/>
  <c r="AK51" i="75"/>
  <c r="AL50" i="75"/>
  <c r="AK50" i="75"/>
  <c r="AL49" i="75"/>
  <c r="AK49" i="75"/>
  <c r="AL48" i="75"/>
  <c r="AK48" i="75"/>
  <c r="AL47" i="75"/>
  <c r="AK47" i="75"/>
  <c r="AL46" i="75"/>
  <c r="AK46" i="75"/>
  <c r="AL45" i="75"/>
  <c r="AK45" i="75"/>
  <c r="AL44" i="75"/>
  <c r="AK44" i="75"/>
  <c r="AL43" i="75"/>
  <c r="AK43" i="75"/>
  <c r="AL42" i="75"/>
  <c r="AK42" i="75"/>
  <c r="AL41" i="75"/>
  <c r="AK41" i="75"/>
  <c r="AL40" i="75"/>
  <c r="AK40" i="75"/>
  <c r="AL39" i="75"/>
  <c r="AK39" i="75"/>
  <c r="AL38" i="75"/>
  <c r="AK38" i="75"/>
  <c r="O25" i="75"/>
  <c r="O23" i="75"/>
  <c r="N23" i="75"/>
  <c r="L23" i="75"/>
  <c r="K23" i="75"/>
  <c r="I23" i="75"/>
  <c r="G23" i="75"/>
  <c r="E23" i="75"/>
  <c r="M19" i="75"/>
  <c r="H19" i="75"/>
  <c r="H18" i="75"/>
  <c r="J11" i="75"/>
  <c r="M10" i="75"/>
  <c r="J10" i="75"/>
  <c r="O8" i="75"/>
  <c r="N8" i="75"/>
  <c r="N25" i="75" s="1"/>
  <c r="L8" i="75"/>
  <c r="L25" i="75" s="1"/>
  <c r="K8" i="75"/>
  <c r="K25" i="75" s="1"/>
  <c r="I8" i="75"/>
  <c r="I25" i="75" s="1"/>
  <c r="G8" i="75"/>
  <c r="G25" i="75" s="1"/>
  <c r="E8" i="75"/>
  <c r="M6" i="75"/>
  <c r="J5" i="75"/>
  <c r="J8" i="75" s="1"/>
  <c r="AI348" i="74"/>
  <c r="AE348" i="74"/>
  <c r="S348" i="74"/>
  <c r="I348" i="74"/>
  <c r="AI347" i="74"/>
  <c r="AG347" i="74"/>
  <c r="AG348" i="74" s="1"/>
  <c r="M21" i="74" s="1"/>
  <c r="AE347" i="74"/>
  <c r="AC347" i="74"/>
  <c r="AC348" i="74" s="1"/>
  <c r="M19" i="74" s="1"/>
  <c r="AA347" i="74"/>
  <c r="AA348" i="74" s="1"/>
  <c r="M18" i="74" s="1"/>
  <c r="Y347" i="74"/>
  <c r="Y348" i="74" s="1"/>
  <c r="M17" i="74" s="1"/>
  <c r="W347" i="74"/>
  <c r="U347" i="74"/>
  <c r="U348" i="74" s="1"/>
  <c r="M15" i="74" s="1"/>
  <c r="S347" i="74"/>
  <c r="Q347" i="74"/>
  <c r="Q348" i="74" s="1"/>
  <c r="M13" i="74" s="1"/>
  <c r="O347" i="74"/>
  <c r="M347" i="74"/>
  <c r="M348" i="74" s="1"/>
  <c r="K347" i="74"/>
  <c r="I347" i="74"/>
  <c r="G347" i="74"/>
  <c r="G348" i="74" s="1"/>
  <c r="M6" i="74" s="1"/>
  <c r="E347" i="74"/>
  <c r="AI338" i="74"/>
  <c r="AG338" i="74"/>
  <c r="AE338" i="74"/>
  <c r="AC338" i="74"/>
  <c r="AA338" i="74"/>
  <c r="Y338" i="74"/>
  <c r="W338" i="74"/>
  <c r="U338" i="74"/>
  <c r="S338" i="74"/>
  <c r="Q338" i="74"/>
  <c r="O338" i="74"/>
  <c r="M338" i="74"/>
  <c r="K338" i="74"/>
  <c r="I338" i="74"/>
  <c r="G338" i="74"/>
  <c r="E338" i="74"/>
  <c r="E348" i="74" s="1"/>
  <c r="M5" i="74" s="1"/>
  <c r="M8" i="74" s="1"/>
  <c r="AJ327" i="74"/>
  <c r="AI327" i="74"/>
  <c r="AH327" i="74"/>
  <c r="AG327" i="74"/>
  <c r="AF327" i="74"/>
  <c r="AE327" i="74"/>
  <c r="AD327" i="74"/>
  <c r="AC327" i="74"/>
  <c r="AB327" i="74"/>
  <c r="AA327" i="74"/>
  <c r="Z327" i="74"/>
  <c r="Y327" i="74"/>
  <c r="X327" i="74"/>
  <c r="W327" i="74"/>
  <c r="W348" i="74" s="1"/>
  <c r="M16" i="74" s="1"/>
  <c r="V327" i="74"/>
  <c r="U327" i="74"/>
  <c r="T327" i="74"/>
  <c r="S327" i="74"/>
  <c r="R327" i="74"/>
  <c r="Q327" i="74"/>
  <c r="P327" i="74"/>
  <c r="O327" i="74"/>
  <c r="O348" i="74" s="1"/>
  <c r="M12" i="74" s="1"/>
  <c r="N327" i="74"/>
  <c r="M327" i="74"/>
  <c r="L327" i="74"/>
  <c r="K327" i="74"/>
  <c r="J327" i="74"/>
  <c r="I327" i="74"/>
  <c r="H327" i="74"/>
  <c r="G327" i="74"/>
  <c r="F327" i="74"/>
  <c r="E327" i="74"/>
  <c r="AL324" i="74"/>
  <c r="AK324" i="74"/>
  <c r="AL323" i="74"/>
  <c r="AK323" i="74"/>
  <c r="AL322" i="74"/>
  <c r="AK322" i="74"/>
  <c r="AL321" i="74"/>
  <c r="AK321" i="74"/>
  <c r="AL320" i="74"/>
  <c r="AK320" i="74"/>
  <c r="AL319" i="74"/>
  <c r="AK319" i="74"/>
  <c r="AL318" i="74"/>
  <c r="AK318" i="74"/>
  <c r="AL317" i="74"/>
  <c r="AK317" i="74"/>
  <c r="AL316" i="74"/>
  <c r="AK316" i="74"/>
  <c r="AL315" i="74"/>
  <c r="AK315" i="74"/>
  <c r="AL314" i="74"/>
  <c r="AK314" i="74"/>
  <c r="AL313" i="74"/>
  <c r="AK313" i="74"/>
  <c r="AL312" i="74"/>
  <c r="AK312" i="74"/>
  <c r="AL311" i="74"/>
  <c r="AK311" i="74"/>
  <c r="AL310" i="74"/>
  <c r="AK310" i="74"/>
  <c r="AL309" i="74"/>
  <c r="AK309" i="74"/>
  <c r="AL308" i="74"/>
  <c r="AK308" i="74"/>
  <c r="AL307" i="74"/>
  <c r="AK307" i="74"/>
  <c r="AL306" i="74"/>
  <c r="AK306" i="74"/>
  <c r="AL305" i="74"/>
  <c r="AK305" i="74"/>
  <c r="AL304" i="74"/>
  <c r="AK304" i="74"/>
  <c r="AL303" i="74"/>
  <c r="AK303" i="74"/>
  <c r="AL302" i="74"/>
  <c r="AK302" i="74"/>
  <c r="AL301" i="74"/>
  <c r="AK301" i="74"/>
  <c r="AL300" i="74"/>
  <c r="AK300" i="74"/>
  <c r="AL299" i="74"/>
  <c r="AK299" i="74"/>
  <c r="AL298" i="74"/>
  <c r="AK298" i="74"/>
  <c r="AL297" i="74"/>
  <c r="AK297" i="74"/>
  <c r="AL296" i="74"/>
  <c r="AK296" i="74"/>
  <c r="AL295" i="74"/>
  <c r="AK295" i="74"/>
  <c r="AL294" i="74"/>
  <c r="AK294" i="74"/>
  <c r="AL293" i="74"/>
  <c r="AK293" i="74"/>
  <c r="AL292" i="74"/>
  <c r="AK292" i="74"/>
  <c r="AL291" i="74"/>
  <c r="AK291" i="74"/>
  <c r="AL290" i="74"/>
  <c r="AK290" i="74"/>
  <c r="AL289" i="74"/>
  <c r="AK289" i="74"/>
  <c r="AL288" i="74"/>
  <c r="AK288" i="74"/>
  <c r="AL287" i="74"/>
  <c r="AK287" i="74"/>
  <c r="AL286" i="74"/>
  <c r="AK286" i="74"/>
  <c r="AL285" i="74"/>
  <c r="AK285" i="74"/>
  <c r="AL284" i="74"/>
  <c r="AK284" i="74"/>
  <c r="AL283" i="74"/>
  <c r="AK283" i="74"/>
  <c r="AL282" i="74"/>
  <c r="AK282" i="74"/>
  <c r="AL281" i="74"/>
  <c r="AK281" i="74"/>
  <c r="AL280" i="74"/>
  <c r="AK280" i="74"/>
  <c r="AL279" i="74"/>
  <c r="AK279" i="74"/>
  <c r="AL278" i="74"/>
  <c r="AK278" i="74"/>
  <c r="AL277" i="74"/>
  <c r="AK277" i="74"/>
  <c r="AL276" i="74"/>
  <c r="AK276" i="74"/>
  <c r="AL275" i="74"/>
  <c r="AL327" i="74" s="1"/>
  <c r="AK275" i="74"/>
  <c r="AK327" i="74" s="1"/>
  <c r="O269" i="74"/>
  <c r="J12" i="74" s="1"/>
  <c r="AL268" i="74"/>
  <c r="AI268" i="74"/>
  <c r="AI269" i="74" s="1"/>
  <c r="J22" i="74" s="1"/>
  <c r="AG268" i="74"/>
  <c r="AG269" i="74" s="1"/>
  <c r="J21" i="74" s="1"/>
  <c r="AE268" i="74"/>
  <c r="AE269" i="74" s="1"/>
  <c r="J20" i="74" s="1"/>
  <c r="AC268" i="74"/>
  <c r="AC269" i="74" s="1"/>
  <c r="J19" i="74" s="1"/>
  <c r="AA268" i="74"/>
  <c r="Y268" i="74"/>
  <c r="Y269" i="74" s="1"/>
  <c r="J17" i="74" s="1"/>
  <c r="W268" i="74"/>
  <c r="U268" i="74"/>
  <c r="U269" i="74" s="1"/>
  <c r="J15" i="74" s="1"/>
  <c r="S268" i="74"/>
  <c r="Q268" i="74"/>
  <c r="Q269" i="74" s="1"/>
  <c r="J13" i="74" s="1"/>
  <c r="O268" i="74"/>
  <c r="M268" i="74"/>
  <c r="M269" i="74" s="1"/>
  <c r="K268" i="74"/>
  <c r="I268" i="74"/>
  <c r="I269" i="74" s="1"/>
  <c r="J7" i="74" s="1"/>
  <c r="G268" i="74"/>
  <c r="G269" i="74" s="1"/>
  <c r="J6" i="74" s="1"/>
  <c r="E268" i="74"/>
  <c r="E269" i="74" s="1"/>
  <c r="J5" i="74" s="1"/>
  <c r="J8" i="74" s="1"/>
  <c r="AL267" i="74"/>
  <c r="AK267" i="74"/>
  <c r="AL266" i="74"/>
  <c r="AK266" i="74"/>
  <c r="AL265" i="74"/>
  <c r="AK265" i="74"/>
  <c r="AL264" i="74"/>
  <c r="AK264" i="74"/>
  <c r="AL263" i="74"/>
  <c r="AK263" i="74"/>
  <c r="AL262" i="74"/>
  <c r="AK262" i="74"/>
  <c r="AL261" i="74"/>
  <c r="AK261" i="74"/>
  <c r="AL260" i="74"/>
  <c r="AK260" i="74"/>
  <c r="AL259" i="74"/>
  <c r="AI259" i="74"/>
  <c r="AG259" i="74"/>
  <c r="AE259" i="74"/>
  <c r="AC259" i="74"/>
  <c r="AA259" i="74"/>
  <c r="Y259" i="74"/>
  <c r="W259" i="74"/>
  <c r="U259" i="74"/>
  <c r="S259" i="74"/>
  <c r="Q259" i="74"/>
  <c r="O259" i="74"/>
  <c r="M259" i="74"/>
  <c r="K259" i="74"/>
  <c r="I259" i="74"/>
  <c r="G259" i="74"/>
  <c r="E259" i="74"/>
  <c r="AK259" i="74" s="1"/>
  <c r="AL258" i="74"/>
  <c r="AK258" i="74"/>
  <c r="AL257" i="74"/>
  <c r="AK257" i="74"/>
  <c r="AL256" i="74"/>
  <c r="AK256" i="74"/>
  <c r="AL255" i="74"/>
  <c r="AK255" i="74"/>
  <c r="AL254" i="74"/>
  <c r="AK254" i="74"/>
  <c r="AL253" i="74"/>
  <c r="AK253" i="74"/>
  <c r="AL252" i="74"/>
  <c r="AK252" i="74"/>
  <c r="AL251" i="74"/>
  <c r="AK251" i="74"/>
  <c r="AL250" i="74"/>
  <c r="AK250" i="74"/>
  <c r="AL249" i="74"/>
  <c r="AK249" i="74"/>
  <c r="AJ248" i="74"/>
  <c r="AI248" i="74"/>
  <c r="AH248" i="74"/>
  <c r="AG248" i="74"/>
  <c r="AF248" i="74"/>
  <c r="AE248" i="74"/>
  <c r="AD248" i="74"/>
  <c r="AC248" i="74"/>
  <c r="AB248" i="74"/>
  <c r="AA248" i="74"/>
  <c r="AA269" i="74" s="1"/>
  <c r="J18" i="74" s="1"/>
  <c r="Z248" i="74"/>
  <c r="Y248" i="74"/>
  <c r="X248" i="74"/>
  <c r="W248" i="74"/>
  <c r="W269" i="74" s="1"/>
  <c r="J16" i="74" s="1"/>
  <c r="V248" i="74"/>
  <c r="U248" i="74"/>
  <c r="T248" i="74"/>
  <c r="S248" i="74"/>
  <c r="S269" i="74" s="1"/>
  <c r="J14" i="74" s="1"/>
  <c r="R248" i="74"/>
  <c r="Q248" i="74"/>
  <c r="P248" i="74"/>
  <c r="O248" i="74"/>
  <c r="N248" i="74"/>
  <c r="M248" i="74"/>
  <c r="L248" i="74"/>
  <c r="K248" i="74"/>
  <c r="J248" i="74"/>
  <c r="I248" i="74"/>
  <c r="H248" i="74"/>
  <c r="G248" i="74"/>
  <c r="F248" i="74"/>
  <c r="AL248" i="74" s="1"/>
  <c r="E248" i="74"/>
  <c r="AK248" i="74" s="1"/>
  <c r="AL247" i="74"/>
  <c r="AK247" i="74"/>
  <c r="AL246" i="74"/>
  <c r="AK246" i="74"/>
  <c r="AL245" i="74"/>
  <c r="AK245" i="74"/>
  <c r="AL244" i="74"/>
  <c r="AK244" i="74"/>
  <c r="AL243" i="74"/>
  <c r="AK243" i="74"/>
  <c r="AL242" i="74"/>
  <c r="AK242" i="74"/>
  <c r="AL241" i="74"/>
  <c r="AK241" i="74"/>
  <c r="AL240" i="74"/>
  <c r="AK240" i="74"/>
  <c r="AL239" i="74"/>
  <c r="AK239" i="74"/>
  <c r="AL238" i="74"/>
  <c r="AK238" i="74"/>
  <c r="AL237" i="74"/>
  <c r="AK237" i="74"/>
  <c r="AL236" i="74"/>
  <c r="AK236" i="74"/>
  <c r="AL235" i="74"/>
  <c r="AK235" i="74"/>
  <c r="AL234" i="74"/>
  <c r="AK234" i="74"/>
  <c r="AL233" i="74"/>
  <c r="AK233" i="74"/>
  <c r="AL232" i="74"/>
  <c r="AK232" i="74"/>
  <c r="AL231" i="74"/>
  <c r="AK231" i="74"/>
  <c r="AL230" i="74"/>
  <c r="AK230" i="74"/>
  <c r="AL229" i="74"/>
  <c r="AK229" i="74"/>
  <c r="AL228" i="74"/>
  <c r="AK228" i="74"/>
  <c r="AL227" i="74"/>
  <c r="AK227" i="74"/>
  <c r="AL226" i="74"/>
  <c r="AK226" i="74"/>
  <c r="AL225" i="74"/>
  <c r="AK225" i="74"/>
  <c r="AL224" i="74"/>
  <c r="AK224" i="74"/>
  <c r="AL223" i="74"/>
  <c r="AK223" i="74"/>
  <c r="AL222" i="74"/>
  <c r="AK222" i="74"/>
  <c r="AL221" i="74"/>
  <c r="AK221" i="74"/>
  <c r="AL220" i="74"/>
  <c r="AK220" i="74"/>
  <c r="AL219" i="74"/>
  <c r="AK219" i="74"/>
  <c r="AL218" i="74"/>
  <c r="AK218" i="74"/>
  <c r="AL217" i="74"/>
  <c r="AK217" i="74"/>
  <c r="AL216" i="74"/>
  <c r="AK216" i="74"/>
  <c r="AL215" i="74"/>
  <c r="AK215" i="74"/>
  <c r="AL214" i="74"/>
  <c r="AK214" i="74"/>
  <c r="AL213" i="74"/>
  <c r="AK213" i="74"/>
  <c r="AL212" i="74"/>
  <c r="AK212" i="74"/>
  <c r="AL211" i="74"/>
  <c r="AK211" i="74"/>
  <c r="AL210" i="74"/>
  <c r="AK210" i="74"/>
  <c r="AL209" i="74"/>
  <c r="AK209" i="74"/>
  <c r="AL208" i="74"/>
  <c r="AK208" i="74"/>
  <c r="AL207" i="74"/>
  <c r="AK207" i="74"/>
  <c r="AL206" i="74"/>
  <c r="AK206" i="74"/>
  <c r="AL205" i="74"/>
  <c r="AK205" i="74"/>
  <c r="AL204" i="74"/>
  <c r="AK204" i="74"/>
  <c r="AL203" i="74"/>
  <c r="AK203" i="74"/>
  <c r="AL202" i="74"/>
  <c r="AK202" i="74"/>
  <c r="AL201" i="74"/>
  <c r="AK201" i="74"/>
  <c r="AL200" i="74"/>
  <c r="AK200" i="74"/>
  <c r="AL199" i="74"/>
  <c r="AK199" i="74"/>
  <c r="AL198" i="74"/>
  <c r="AK198" i="74"/>
  <c r="AL197" i="74"/>
  <c r="AK197" i="74"/>
  <c r="AL196" i="74"/>
  <c r="AK196" i="74"/>
  <c r="AI190" i="74"/>
  <c r="H22" i="74" s="1"/>
  <c r="AE190" i="74"/>
  <c r="S190" i="74"/>
  <c r="I190" i="74"/>
  <c r="H7" i="74" s="1"/>
  <c r="AI189" i="74"/>
  <c r="AG189" i="74"/>
  <c r="AG190" i="74" s="1"/>
  <c r="H21" i="74" s="1"/>
  <c r="AE189" i="74"/>
  <c r="AC189" i="74"/>
  <c r="AC190" i="74" s="1"/>
  <c r="H19" i="74" s="1"/>
  <c r="AA189" i="74"/>
  <c r="AA190" i="74" s="1"/>
  <c r="H18" i="74" s="1"/>
  <c r="Y189" i="74"/>
  <c r="Y190" i="74" s="1"/>
  <c r="H17" i="74" s="1"/>
  <c r="W189" i="74"/>
  <c r="W190" i="74" s="1"/>
  <c r="H16" i="74" s="1"/>
  <c r="U189" i="74"/>
  <c r="U190" i="74" s="1"/>
  <c r="H15" i="74" s="1"/>
  <c r="S189" i="74"/>
  <c r="Q189" i="74"/>
  <c r="Q190" i="74" s="1"/>
  <c r="H13" i="74" s="1"/>
  <c r="O189" i="74"/>
  <c r="M189" i="74"/>
  <c r="M190" i="74" s="1"/>
  <c r="K189" i="74"/>
  <c r="I189" i="74"/>
  <c r="G189" i="74"/>
  <c r="G190" i="74" s="1"/>
  <c r="H6" i="74" s="1"/>
  <c r="E189" i="74"/>
  <c r="AI180" i="74"/>
  <c r="AG180" i="74"/>
  <c r="AE180" i="74"/>
  <c r="AC180" i="74"/>
  <c r="AA180" i="74"/>
  <c r="Y180" i="74"/>
  <c r="W180" i="74"/>
  <c r="U180" i="74"/>
  <c r="S180" i="74"/>
  <c r="Q180" i="74"/>
  <c r="O180" i="74"/>
  <c r="M180" i="74"/>
  <c r="K180" i="74"/>
  <c r="I180" i="74"/>
  <c r="G180" i="74"/>
  <c r="E180" i="74"/>
  <c r="E190" i="74" s="1"/>
  <c r="H5" i="74" s="1"/>
  <c r="AJ169" i="74"/>
  <c r="AI169" i="74"/>
  <c r="AH169" i="74"/>
  <c r="AG169" i="74"/>
  <c r="AF169" i="74"/>
  <c r="AE169" i="74"/>
  <c r="AD169" i="74"/>
  <c r="AC169" i="74"/>
  <c r="AB169" i="74"/>
  <c r="AA169" i="74"/>
  <c r="Z169" i="74"/>
  <c r="Y169" i="74"/>
  <c r="X169" i="74"/>
  <c r="W169" i="74"/>
  <c r="V169" i="74"/>
  <c r="U169" i="74"/>
  <c r="T169" i="74"/>
  <c r="S169" i="74"/>
  <c r="R169" i="74"/>
  <c r="Q169" i="74"/>
  <c r="P169" i="74"/>
  <c r="O169" i="74"/>
  <c r="O190" i="74" s="1"/>
  <c r="H12" i="74" s="1"/>
  <c r="N169" i="74"/>
  <c r="M169" i="74"/>
  <c r="L169" i="74"/>
  <c r="K169" i="74"/>
  <c r="J169" i="74"/>
  <c r="I169" i="74"/>
  <c r="H169" i="74"/>
  <c r="G169" i="74"/>
  <c r="F169" i="74"/>
  <c r="E169" i="74"/>
  <c r="AL166" i="74"/>
  <c r="AK166" i="74"/>
  <c r="AL165" i="74"/>
  <c r="AK165" i="74"/>
  <c r="AL164" i="74"/>
  <c r="AK164" i="74"/>
  <c r="AL163" i="74"/>
  <c r="AK163" i="74"/>
  <c r="AL162" i="74"/>
  <c r="AK162" i="74"/>
  <c r="AL161" i="74"/>
  <c r="AK161" i="74"/>
  <c r="AL160" i="74"/>
  <c r="AK160" i="74"/>
  <c r="AL159" i="74"/>
  <c r="AK159" i="74"/>
  <c r="AL158" i="74"/>
  <c r="AK158" i="74"/>
  <c r="AL157" i="74"/>
  <c r="AK157" i="74"/>
  <c r="AL156" i="74"/>
  <c r="AK156" i="74"/>
  <c r="AL155" i="74"/>
  <c r="AK155" i="74"/>
  <c r="AL154" i="74"/>
  <c r="AK154" i="74"/>
  <c r="AL153" i="74"/>
  <c r="AK153" i="74"/>
  <c r="AL152" i="74"/>
  <c r="AK152" i="74"/>
  <c r="AL151" i="74"/>
  <c r="AK151" i="74"/>
  <c r="AL150" i="74"/>
  <c r="AK150" i="74"/>
  <c r="AL149" i="74"/>
  <c r="AK149" i="74"/>
  <c r="AL148" i="74"/>
  <c r="AK148" i="74"/>
  <c r="AL147" i="74"/>
  <c r="AK147" i="74"/>
  <c r="AL146" i="74"/>
  <c r="AK146" i="74"/>
  <c r="AL145" i="74"/>
  <c r="AK145" i="74"/>
  <c r="AL144" i="74"/>
  <c r="AK144" i="74"/>
  <c r="AL143" i="74"/>
  <c r="AK143" i="74"/>
  <c r="AL142" i="74"/>
  <c r="AK142" i="74"/>
  <c r="AL141" i="74"/>
  <c r="AK141" i="74"/>
  <c r="AL140" i="74"/>
  <c r="AK140" i="74"/>
  <c r="AL139" i="74"/>
  <c r="AK139" i="74"/>
  <c r="AL138" i="74"/>
  <c r="AK138" i="74"/>
  <c r="AL137" i="74"/>
  <c r="AK137" i="74"/>
  <c r="AL136" i="74"/>
  <c r="AK136" i="74"/>
  <c r="AL135" i="74"/>
  <c r="AK135" i="74"/>
  <c r="AL134" i="74"/>
  <c r="AK134" i="74"/>
  <c r="AL133" i="74"/>
  <c r="AK133" i="74"/>
  <c r="AL132" i="74"/>
  <c r="AK132" i="74"/>
  <c r="AL131" i="74"/>
  <c r="AK131" i="74"/>
  <c r="AL130" i="74"/>
  <c r="AK130" i="74"/>
  <c r="AL129" i="74"/>
  <c r="AK129" i="74"/>
  <c r="AL128" i="74"/>
  <c r="AK128" i="74"/>
  <c r="AL127" i="74"/>
  <c r="AK127" i="74"/>
  <c r="AL126" i="74"/>
  <c r="AK126" i="74"/>
  <c r="AL125" i="74"/>
  <c r="AK125" i="74"/>
  <c r="AL124" i="74"/>
  <c r="AK124" i="74"/>
  <c r="AL123" i="74"/>
  <c r="AK123" i="74"/>
  <c r="AL122" i="74"/>
  <c r="AK122" i="74"/>
  <c r="AL121" i="74"/>
  <c r="AK121" i="74"/>
  <c r="AL120" i="74"/>
  <c r="AK120" i="74"/>
  <c r="AL119" i="74"/>
  <c r="AK119" i="74"/>
  <c r="AL118" i="74"/>
  <c r="AK118" i="74"/>
  <c r="AL117" i="74"/>
  <c r="AL169" i="74" s="1"/>
  <c r="AK117" i="74"/>
  <c r="AK169" i="74" s="1"/>
  <c r="W111" i="74"/>
  <c r="S111" i="74"/>
  <c r="O111" i="74"/>
  <c r="F12" i="74" s="1"/>
  <c r="I111" i="74"/>
  <c r="AI110" i="74"/>
  <c r="AI111" i="74" s="1"/>
  <c r="F22" i="74" s="1"/>
  <c r="AH110" i="74"/>
  <c r="AG110" i="74"/>
  <c r="AG111" i="74" s="1"/>
  <c r="F21" i="74" s="1"/>
  <c r="AF110" i="74"/>
  <c r="AE110" i="74"/>
  <c r="AE111" i="74" s="1"/>
  <c r="F20" i="74" s="1"/>
  <c r="AD110" i="74"/>
  <c r="AC110" i="74"/>
  <c r="AC111" i="74" s="1"/>
  <c r="F19" i="74" s="1"/>
  <c r="AB110" i="74"/>
  <c r="AA110" i="74"/>
  <c r="AA111" i="74" s="1"/>
  <c r="F18" i="74" s="1"/>
  <c r="Z110" i="74"/>
  <c r="Y110" i="74"/>
  <c r="X110" i="74"/>
  <c r="W110" i="74"/>
  <c r="V110" i="74"/>
  <c r="U110" i="74"/>
  <c r="U111" i="74" s="1"/>
  <c r="F15" i="74" s="1"/>
  <c r="T110" i="74"/>
  <c r="S110" i="74"/>
  <c r="R110" i="74"/>
  <c r="Q110" i="74"/>
  <c r="Q111" i="74" s="1"/>
  <c r="F13" i="74" s="1"/>
  <c r="P110" i="74"/>
  <c r="O110" i="74"/>
  <c r="N110" i="74"/>
  <c r="M110" i="74"/>
  <c r="M111" i="74" s="1"/>
  <c r="L110" i="74"/>
  <c r="K110" i="74"/>
  <c r="J110" i="74"/>
  <c r="I110" i="74"/>
  <c r="H110" i="74"/>
  <c r="G110" i="74"/>
  <c r="F110" i="74"/>
  <c r="E110" i="74"/>
  <c r="E111" i="74" s="1"/>
  <c r="F5" i="74" s="1"/>
  <c r="AL109" i="74"/>
  <c r="AK109" i="74"/>
  <c r="AL108" i="74"/>
  <c r="AK108" i="74"/>
  <c r="AL107" i="74"/>
  <c r="AK107" i="74"/>
  <c r="AL106" i="74"/>
  <c r="AK106" i="74"/>
  <c r="AL105" i="74"/>
  <c r="AK105" i="74"/>
  <c r="AL104" i="74"/>
  <c r="AK104" i="74"/>
  <c r="AL103" i="74"/>
  <c r="AK103" i="74"/>
  <c r="AK110" i="74" s="1"/>
  <c r="AL102" i="74"/>
  <c r="AL110" i="74" s="1"/>
  <c r="AK102" i="74"/>
  <c r="AJ101" i="74"/>
  <c r="AI101" i="74"/>
  <c r="AH101" i="74"/>
  <c r="AG101" i="74"/>
  <c r="AF101" i="74"/>
  <c r="AE101" i="74"/>
  <c r="AD101" i="74"/>
  <c r="AC101" i="74"/>
  <c r="AB101" i="74"/>
  <c r="AA101" i="74"/>
  <c r="Z101" i="74"/>
  <c r="Y101" i="74"/>
  <c r="Y111" i="74" s="1"/>
  <c r="F17" i="74" s="1"/>
  <c r="X101" i="74"/>
  <c r="W101" i="74"/>
  <c r="V101" i="74"/>
  <c r="U101" i="74"/>
  <c r="T101" i="74"/>
  <c r="S101" i="74"/>
  <c r="R101" i="74"/>
  <c r="Q101" i="74"/>
  <c r="P101" i="74"/>
  <c r="O101" i="74"/>
  <c r="N101" i="74"/>
  <c r="M101" i="74"/>
  <c r="L101" i="74"/>
  <c r="K101" i="74"/>
  <c r="J101" i="74"/>
  <c r="I101" i="74"/>
  <c r="H101" i="74"/>
  <c r="G101" i="74"/>
  <c r="G111" i="74" s="1"/>
  <c r="F6" i="74" s="1"/>
  <c r="F101" i="74"/>
  <c r="E101" i="74"/>
  <c r="AL100" i="74"/>
  <c r="AK100" i="74"/>
  <c r="AL99" i="74"/>
  <c r="AK99" i="74"/>
  <c r="AL98" i="74"/>
  <c r="AK98" i="74"/>
  <c r="AL97" i="74"/>
  <c r="AK97" i="74"/>
  <c r="AL96" i="74"/>
  <c r="AK96" i="74"/>
  <c r="AL95" i="74"/>
  <c r="AK95" i="74"/>
  <c r="AL94" i="74"/>
  <c r="AK94" i="74"/>
  <c r="AL93" i="74"/>
  <c r="AK93" i="74"/>
  <c r="AK101" i="74" s="1"/>
  <c r="AL92" i="74"/>
  <c r="AK92" i="74"/>
  <c r="AL91" i="74"/>
  <c r="AL101" i="74" s="1"/>
  <c r="AK91" i="74"/>
  <c r="AL90" i="74"/>
  <c r="AJ90" i="74"/>
  <c r="AI90" i="74"/>
  <c r="AH90" i="74"/>
  <c r="AG90" i="74"/>
  <c r="AF90" i="74"/>
  <c r="AE90" i="74"/>
  <c r="AD90" i="74"/>
  <c r="AC90" i="74"/>
  <c r="AB90" i="74"/>
  <c r="AA90" i="74"/>
  <c r="Z90" i="74"/>
  <c r="Y90" i="74"/>
  <c r="X90" i="74"/>
  <c r="V90" i="74"/>
  <c r="U90" i="74"/>
  <c r="T90" i="74"/>
  <c r="S90" i="74"/>
  <c r="R90" i="74"/>
  <c r="Q90" i="74"/>
  <c r="P90" i="74"/>
  <c r="O90" i="74"/>
  <c r="N90" i="74"/>
  <c r="M90" i="74"/>
  <c r="L90" i="74"/>
  <c r="K90" i="74"/>
  <c r="J90" i="74"/>
  <c r="I90" i="74"/>
  <c r="H90" i="74"/>
  <c r="G90" i="74"/>
  <c r="F90" i="74"/>
  <c r="E90" i="74"/>
  <c r="AL87" i="74"/>
  <c r="AK87" i="74"/>
  <c r="AL86" i="74"/>
  <c r="AK86" i="74"/>
  <c r="AL85" i="74"/>
  <c r="AK85" i="74"/>
  <c r="AL84" i="74"/>
  <c r="AK84" i="74"/>
  <c r="AL83" i="74"/>
  <c r="AK83" i="74"/>
  <c r="AL82" i="74"/>
  <c r="AK82" i="74"/>
  <c r="AL81" i="74"/>
  <c r="AK81" i="74"/>
  <c r="AL80" i="74"/>
  <c r="AK80" i="74"/>
  <c r="AL79" i="74"/>
  <c r="AK79" i="74"/>
  <c r="AL78" i="74"/>
  <c r="AK78" i="74"/>
  <c r="AL77" i="74"/>
  <c r="AK77" i="74"/>
  <c r="AL76" i="74"/>
  <c r="AK76" i="74"/>
  <c r="AL75" i="74"/>
  <c r="AK75" i="74"/>
  <c r="AL74" i="74"/>
  <c r="AK74" i="74"/>
  <c r="AL73" i="74"/>
  <c r="AK73" i="74"/>
  <c r="AL72" i="74"/>
  <c r="AK72" i="74"/>
  <c r="AL71" i="74"/>
  <c r="AK71" i="74"/>
  <c r="AL70" i="74"/>
  <c r="AK70" i="74"/>
  <c r="AL69" i="74"/>
  <c r="AK69" i="74"/>
  <c r="AL68" i="74"/>
  <c r="AK68" i="74"/>
  <c r="AL67" i="74"/>
  <c r="AK67" i="74"/>
  <c r="AL66" i="74"/>
  <c r="AK66" i="74"/>
  <c r="AL65" i="74"/>
  <c r="AK65" i="74"/>
  <c r="AL64" i="74"/>
  <c r="AK64" i="74"/>
  <c r="AL63" i="74"/>
  <c r="AK63" i="74"/>
  <c r="AL62" i="74"/>
  <c r="AK62" i="74"/>
  <c r="AL61" i="74"/>
  <c r="AK61" i="74"/>
  <c r="AL60" i="74"/>
  <c r="AK60" i="74"/>
  <c r="AL59" i="74"/>
  <c r="AK59" i="74"/>
  <c r="AL58" i="74"/>
  <c r="AK58" i="74"/>
  <c r="AL57" i="74"/>
  <c r="AK57" i="74"/>
  <c r="AL56" i="74"/>
  <c r="AK56" i="74"/>
  <c r="AL55" i="74"/>
  <c r="AK55" i="74"/>
  <c r="AL54" i="74"/>
  <c r="AK54" i="74"/>
  <c r="AL53" i="74"/>
  <c r="AK53" i="74"/>
  <c r="AL52" i="74"/>
  <c r="AK52" i="74"/>
  <c r="AL51" i="74"/>
  <c r="AK51" i="74"/>
  <c r="AL50" i="74"/>
  <c r="AK50" i="74"/>
  <c r="AL49" i="74"/>
  <c r="AK49" i="74"/>
  <c r="AL48" i="74"/>
  <c r="AK48" i="74"/>
  <c r="AL47" i="74"/>
  <c r="AK47" i="74"/>
  <c r="AL46" i="74"/>
  <c r="AK46" i="74"/>
  <c r="AL45" i="74"/>
  <c r="AK45" i="74"/>
  <c r="AL44" i="74"/>
  <c r="AK44" i="74"/>
  <c r="AL43" i="74"/>
  <c r="AK43" i="74"/>
  <c r="AL42" i="74"/>
  <c r="AK42" i="74"/>
  <c r="AL41" i="74"/>
  <c r="AK41" i="74"/>
  <c r="AL40" i="74"/>
  <c r="AK40" i="74"/>
  <c r="AL39" i="74"/>
  <c r="AK39" i="74"/>
  <c r="AL38" i="74"/>
  <c r="AK38" i="74"/>
  <c r="AK90" i="74" s="1"/>
  <c r="O23" i="74"/>
  <c r="N23" i="74"/>
  <c r="L23" i="74"/>
  <c r="K23" i="74"/>
  <c r="I23" i="74"/>
  <c r="G23" i="74"/>
  <c r="E23" i="74"/>
  <c r="M22" i="74"/>
  <c r="M20" i="74"/>
  <c r="H20" i="74"/>
  <c r="F16" i="74"/>
  <c r="M14" i="74"/>
  <c r="H14" i="74"/>
  <c r="F14" i="74"/>
  <c r="M10" i="74"/>
  <c r="J10" i="74"/>
  <c r="O8" i="74"/>
  <c r="O25" i="74" s="1"/>
  <c r="N8" i="74"/>
  <c r="N25" i="74" s="1"/>
  <c r="L8" i="74"/>
  <c r="L25" i="74" s="1"/>
  <c r="K8" i="74"/>
  <c r="K25" i="74" s="1"/>
  <c r="I8" i="74"/>
  <c r="I25" i="74" s="1"/>
  <c r="G8" i="74"/>
  <c r="G25" i="74" s="1"/>
  <c r="E8" i="74"/>
  <c r="E25" i="74" s="1"/>
  <c r="M7" i="74"/>
  <c r="F7" i="74"/>
  <c r="E25" i="72"/>
  <c r="F25" i="72"/>
  <c r="E8" i="66"/>
  <c r="F8" i="66"/>
  <c r="C4" i="3"/>
  <c r="C5" i="3" s="1"/>
  <c r="D5" i="3"/>
  <c r="B5" i="3"/>
  <c r="C31" i="3"/>
  <c r="D19" i="3"/>
  <c r="F31" i="3"/>
  <c r="E31" i="3"/>
  <c r="D31" i="3"/>
  <c r="G19" i="3"/>
  <c r="D37" i="4"/>
  <c r="B37" i="4"/>
  <c r="D28" i="4"/>
  <c r="B28" i="4"/>
  <c r="D19" i="4"/>
  <c r="B19" i="4"/>
  <c r="D10" i="4"/>
  <c r="B10" i="4"/>
  <c r="D24" i="61"/>
  <c r="D12" i="61"/>
  <c r="D24" i="62"/>
  <c r="D13" i="62"/>
  <c r="K9" i="1"/>
  <c r="K12" i="1"/>
  <c r="K13" i="1"/>
  <c r="K14" i="1"/>
  <c r="K15" i="1"/>
  <c r="K19" i="1"/>
  <c r="K20" i="1"/>
  <c r="K21" i="1"/>
  <c r="K24" i="1"/>
  <c r="K25" i="1"/>
  <c r="K28" i="1"/>
  <c r="K29" i="1"/>
  <c r="K30" i="1"/>
  <c r="K33" i="1"/>
  <c r="K34" i="1"/>
  <c r="K38" i="1"/>
  <c r="K39" i="1"/>
  <c r="K40" i="1"/>
  <c r="K41" i="1"/>
  <c r="K42" i="1"/>
  <c r="K45" i="1"/>
  <c r="K46" i="1"/>
  <c r="K47" i="1"/>
  <c r="K48" i="1"/>
  <c r="K49" i="1"/>
  <c r="K52" i="1"/>
  <c r="K53" i="1"/>
  <c r="K54" i="1"/>
  <c r="K55" i="1"/>
  <c r="K56" i="1"/>
  <c r="K61" i="1"/>
  <c r="K62" i="1"/>
  <c r="K63" i="1"/>
  <c r="K64" i="1"/>
  <c r="K66" i="1"/>
  <c r="K67" i="1"/>
  <c r="K68" i="1"/>
  <c r="K71" i="1"/>
  <c r="K72" i="1"/>
  <c r="K80" i="1"/>
  <c r="K82" i="1"/>
  <c r="K83" i="1"/>
  <c r="K84" i="1"/>
  <c r="K87" i="1"/>
  <c r="K89" i="1"/>
  <c r="K90" i="1"/>
  <c r="K91" i="1"/>
  <c r="K92" i="1"/>
  <c r="K93" i="1"/>
  <c r="K94" i="1"/>
  <c r="K97" i="1"/>
  <c r="K98" i="1"/>
  <c r="K99" i="1"/>
  <c r="K100" i="1"/>
  <c r="K103" i="1"/>
  <c r="K104" i="1"/>
  <c r="K105" i="1"/>
  <c r="K106" i="1"/>
  <c r="K107" i="1"/>
  <c r="K110" i="1"/>
  <c r="K111" i="1"/>
  <c r="K112" i="1"/>
  <c r="K113" i="1"/>
  <c r="K118" i="1"/>
  <c r="K119" i="1"/>
  <c r="K120" i="1"/>
  <c r="K121" i="1"/>
  <c r="K122" i="1"/>
  <c r="K123" i="1"/>
  <c r="K124" i="1"/>
  <c r="K125" i="1"/>
  <c r="K128" i="1"/>
  <c r="K129" i="1"/>
  <c r="K130" i="1"/>
  <c r="K133" i="1"/>
  <c r="K134" i="1"/>
  <c r="K135" i="1"/>
  <c r="K137" i="1"/>
  <c r="K138" i="1"/>
  <c r="K139" i="1"/>
  <c r="K140" i="1"/>
  <c r="K141" i="1"/>
  <c r="K142" i="1"/>
  <c r="K145" i="1"/>
  <c r="K146" i="1"/>
  <c r="K147" i="1"/>
  <c r="K149" i="1"/>
  <c r="K150" i="1"/>
  <c r="K151" i="1"/>
  <c r="K152" i="1"/>
  <c r="K153" i="1"/>
  <c r="K154" i="1"/>
  <c r="K157" i="1"/>
  <c r="K158" i="1"/>
  <c r="K159" i="1"/>
  <c r="K161" i="1"/>
  <c r="K162" i="1"/>
  <c r="K163" i="1"/>
  <c r="K164" i="1"/>
  <c r="K165" i="1"/>
  <c r="K166" i="1"/>
  <c r="K169" i="1"/>
  <c r="K170" i="1"/>
  <c r="K171" i="1"/>
  <c r="K172" i="1"/>
  <c r="K175" i="1"/>
  <c r="K176" i="1"/>
  <c r="K177" i="1"/>
  <c r="K178" i="1"/>
  <c r="K179" i="1"/>
  <c r="K180" i="1"/>
  <c r="K181" i="1"/>
  <c r="K185" i="1"/>
  <c r="K186" i="1"/>
  <c r="K187" i="1"/>
  <c r="K188" i="1"/>
  <c r="K189" i="1"/>
  <c r="K191" i="1"/>
  <c r="K192" i="1"/>
  <c r="K193" i="1"/>
  <c r="K194" i="1"/>
  <c r="K195" i="1"/>
  <c r="K197" i="1"/>
  <c r="K198" i="1"/>
  <c r="K199" i="1"/>
  <c r="K200" i="1"/>
  <c r="K201" i="1"/>
  <c r="K203" i="1"/>
  <c r="K204" i="1"/>
  <c r="K205" i="1"/>
  <c r="K206" i="1"/>
  <c r="K207" i="1"/>
  <c r="K209" i="1"/>
  <c r="K210" i="1"/>
  <c r="K211" i="1"/>
  <c r="K212" i="1"/>
  <c r="K213" i="1"/>
  <c r="K215" i="1"/>
  <c r="K216" i="1"/>
  <c r="K217" i="1"/>
  <c r="K218" i="1"/>
  <c r="K219" i="1"/>
  <c r="K221" i="1"/>
  <c r="K222" i="1"/>
  <c r="K223" i="1"/>
  <c r="K224" i="1"/>
  <c r="K225" i="1"/>
  <c r="K229" i="1"/>
  <c r="K230" i="1"/>
  <c r="K231" i="1"/>
  <c r="K232" i="1"/>
  <c r="K233" i="1"/>
  <c r="K234" i="1"/>
  <c r="K235" i="1"/>
  <c r="K236" i="1"/>
  <c r="K239" i="1"/>
  <c r="K240" i="1"/>
  <c r="K241" i="1"/>
  <c r="K242" i="1"/>
  <c r="K243" i="1"/>
  <c r="K244" i="1"/>
  <c r="K245" i="1"/>
  <c r="K246" i="1"/>
  <c r="K247" i="1"/>
  <c r="K252" i="1"/>
  <c r="K253" i="1"/>
  <c r="K254" i="1"/>
  <c r="K255" i="1"/>
  <c r="K256" i="1"/>
  <c r="K257" i="1"/>
  <c r="K258" i="1"/>
  <c r="K259" i="1"/>
  <c r="K262" i="1"/>
  <c r="K263" i="1"/>
  <c r="K266" i="1"/>
  <c r="K267" i="1"/>
  <c r="K271" i="1"/>
  <c r="K272" i="1"/>
  <c r="K276" i="1"/>
  <c r="K277" i="1"/>
  <c r="K278" i="1"/>
  <c r="K8" i="1"/>
  <c r="K270" i="1"/>
  <c r="K269" i="1"/>
  <c r="K265" i="1"/>
  <c r="K168" i="1"/>
  <c r="K109" i="1"/>
  <c r="K70" i="1"/>
  <c r="K60" i="1"/>
  <c r="K51" i="1"/>
  <c r="K44" i="1"/>
  <c r="K32" i="1"/>
  <c r="K23" i="1"/>
  <c r="AK90" i="75" l="1"/>
  <c r="AL90" i="75"/>
  <c r="O111" i="75"/>
  <c r="F12" i="75" s="1"/>
  <c r="AA111" i="75"/>
  <c r="F18" i="75" s="1"/>
  <c r="E111" i="75"/>
  <c r="F5" i="75" s="1"/>
  <c r="Q111" i="75"/>
  <c r="F13" i="75" s="1"/>
  <c r="AC111" i="75"/>
  <c r="F19" i="75" s="1"/>
  <c r="G111" i="75"/>
  <c r="F6" i="75" s="1"/>
  <c r="S111" i="75"/>
  <c r="F14" i="75" s="1"/>
  <c r="I111" i="75"/>
  <c r="F7" i="75" s="1"/>
  <c r="F8" i="75" s="1"/>
  <c r="U111" i="75"/>
  <c r="F15" i="75" s="1"/>
  <c r="AG111" i="75"/>
  <c r="F21" i="75" s="1"/>
  <c r="E25" i="75"/>
  <c r="AL269" i="75"/>
  <c r="H8" i="75"/>
  <c r="H25" i="75" s="1"/>
  <c r="J25" i="75"/>
  <c r="AL190" i="75"/>
  <c r="H11" i="75"/>
  <c r="H23" i="75" s="1"/>
  <c r="AL348" i="75"/>
  <c r="M11" i="75"/>
  <c r="M23" i="75" s="1"/>
  <c r="M25" i="75" s="1"/>
  <c r="F11" i="75"/>
  <c r="AL190" i="74"/>
  <c r="H11" i="74"/>
  <c r="H23" i="74" s="1"/>
  <c r="AL111" i="74"/>
  <c r="F11" i="74"/>
  <c r="F23" i="74" s="1"/>
  <c r="AL348" i="74"/>
  <c r="M11" i="74"/>
  <c r="M23" i="74" s="1"/>
  <c r="M25" i="74" s="1"/>
  <c r="H8" i="74"/>
  <c r="H25" i="74" s="1"/>
  <c r="J23" i="74"/>
  <c r="J25" i="74" s="1"/>
  <c r="F8" i="74"/>
  <c r="F25" i="74" s="1"/>
  <c r="AL269" i="74"/>
  <c r="J11" i="74"/>
  <c r="AK268" i="74"/>
  <c r="K88" i="1"/>
  <c r="K27" i="1"/>
  <c r="K208" i="1"/>
  <c r="K261" i="1"/>
  <c r="K196" i="1"/>
  <c r="K102" i="1"/>
  <c r="K275" i="1"/>
  <c r="K148" i="1"/>
  <c r="K220" i="1"/>
  <c r="K214" i="1"/>
  <c r="K127" i="1"/>
  <c r="K190" i="1"/>
  <c r="K184" i="1"/>
  <c r="K202" i="1"/>
  <c r="K251" i="1"/>
  <c r="K250" i="1"/>
  <c r="K174" i="1"/>
  <c r="K238" i="1"/>
  <c r="K144" i="1"/>
  <c r="K228" i="1"/>
  <c r="K117" i="1"/>
  <c r="K96" i="1"/>
  <c r="K18" i="1"/>
  <c r="K11" i="1"/>
  <c r="K274" i="1"/>
  <c r="F23" i="75" l="1"/>
  <c r="F25" i="75" s="1"/>
  <c r="AL111" i="75"/>
  <c r="K132" i="1"/>
  <c r="K136" i="1"/>
  <c r="K36" i="1"/>
  <c r="K37" i="1"/>
  <c r="K156" i="1"/>
  <c r="K160" i="1"/>
  <c r="K116" i="1" l="1"/>
  <c r="K183" i="1"/>
  <c r="K79" i="1" l="1"/>
  <c r="K81" i="1"/>
  <c r="K86" i="1" l="1"/>
  <c r="K78" i="1" l="1"/>
  <c r="J5" i="72" l="1"/>
  <c r="H5" i="72"/>
  <c r="H6" i="72"/>
  <c r="J6" i="72"/>
  <c r="H7" i="72"/>
  <c r="J7" i="72"/>
  <c r="M90" i="71"/>
  <c r="M90" i="72"/>
  <c r="AI347" i="72"/>
  <c r="AG347" i="72"/>
  <c r="AE347" i="72"/>
  <c r="AC347" i="72"/>
  <c r="AA347" i="72"/>
  <c r="Y347" i="72"/>
  <c r="W347" i="72"/>
  <c r="U347" i="72"/>
  <c r="S347" i="72"/>
  <c r="Q347" i="72"/>
  <c r="O347" i="72"/>
  <c r="M347" i="72"/>
  <c r="K347" i="72"/>
  <c r="I347" i="72"/>
  <c r="G347" i="72"/>
  <c r="E347" i="72"/>
  <c r="AI338" i="72"/>
  <c r="AG338" i="72"/>
  <c r="AE338" i="72"/>
  <c r="AC338" i="72"/>
  <c r="AA338" i="72"/>
  <c r="Y338" i="72"/>
  <c r="W338" i="72"/>
  <c r="U338" i="72"/>
  <c r="S338" i="72"/>
  <c r="Q338" i="72"/>
  <c r="O338" i="72"/>
  <c r="M338" i="72"/>
  <c r="K338" i="72"/>
  <c r="I338" i="72"/>
  <c r="G338" i="72"/>
  <c r="E338" i="72"/>
  <c r="AJ327" i="72"/>
  <c r="AI327" i="72"/>
  <c r="AH327" i="72"/>
  <c r="AF327" i="72"/>
  <c r="AD327" i="72"/>
  <c r="AC327" i="72"/>
  <c r="AB327" i="72"/>
  <c r="AA327" i="72"/>
  <c r="Z327" i="72"/>
  <c r="Y327" i="72"/>
  <c r="X327" i="72"/>
  <c r="W327" i="72"/>
  <c r="V327" i="72"/>
  <c r="T327" i="72"/>
  <c r="S327" i="72"/>
  <c r="R327" i="72"/>
  <c r="Q327" i="72"/>
  <c r="P327" i="72"/>
  <c r="O327" i="72"/>
  <c r="N327" i="72"/>
  <c r="M327" i="72"/>
  <c r="L327" i="72"/>
  <c r="J327" i="72"/>
  <c r="I327" i="72"/>
  <c r="H327" i="72"/>
  <c r="G327" i="72"/>
  <c r="F327" i="72"/>
  <c r="AL324" i="72"/>
  <c r="AL323" i="72"/>
  <c r="AL322" i="72"/>
  <c r="AL321" i="72"/>
  <c r="AL320" i="72"/>
  <c r="AK320" i="72"/>
  <c r="AL319" i="72"/>
  <c r="AK319" i="72"/>
  <c r="AL318" i="72"/>
  <c r="AL317" i="72"/>
  <c r="AK317" i="72"/>
  <c r="AL316" i="72"/>
  <c r="AL315" i="72"/>
  <c r="AL314" i="72"/>
  <c r="AK314" i="72"/>
  <c r="AL313" i="72"/>
  <c r="AL312" i="72"/>
  <c r="AK312" i="72"/>
  <c r="AL311" i="72"/>
  <c r="AL310" i="72"/>
  <c r="AK310" i="72"/>
  <c r="AL309" i="72"/>
  <c r="AL308" i="72"/>
  <c r="AK308" i="72"/>
  <c r="AL307" i="72"/>
  <c r="AK307" i="72"/>
  <c r="AL306" i="72"/>
  <c r="AL305" i="72"/>
  <c r="AK305" i="72"/>
  <c r="AL304" i="72"/>
  <c r="AL303" i="72"/>
  <c r="AL302" i="72"/>
  <c r="AL301" i="72"/>
  <c r="AL300" i="72"/>
  <c r="AL299" i="72"/>
  <c r="AL298" i="72"/>
  <c r="AL297" i="72"/>
  <c r="AL296" i="72"/>
  <c r="AK296" i="72"/>
  <c r="AL295" i="72"/>
  <c r="AK295" i="72"/>
  <c r="AL294" i="72"/>
  <c r="AL293" i="72"/>
  <c r="AK293" i="72"/>
  <c r="AL292" i="72"/>
  <c r="AL291" i="72"/>
  <c r="AL290" i="72"/>
  <c r="AL289" i="72"/>
  <c r="AL288" i="72"/>
  <c r="AL287" i="72"/>
  <c r="AL286" i="72"/>
  <c r="AL285" i="72"/>
  <c r="AK285" i="72"/>
  <c r="AL284" i="72"/>
  <c r="AK284" i="72"/>
  <c r="AL283" i="72"/>
  <c r="AK283" i="72"/>
  <c r="AL282" i="72"/>
  <c r="AL281" i="72"/>
  <c r="AK281" i="72"/>
  <c r="AL280" i="72"/>
  <c r="AL279" i="72"/>
  <c r="AK279" i="72"/>
  <c r="AL278" i="72"/>
  <c r="AL277" i="72"/>
  <c r="AL276" i="72"/>
  <c r="AK276" i="72"/>
  <c r="AL275" i="72"/>
  <c r="AG327" i="72"/>
  <c r="AE327" i="72"/>
  <c r="K327" i="72"/>
  <c r="AL268" i="72"/>
  <c r="AI268" i="72"/>
  <c r="AG268" i="72"/>
  <c r="AE268" i="72"/>
  <c r="AC268" i="72"/>
  <c r="AA268" i="72"/>
  <c r="Y268" i="72"/>
  <c r="W268" i="72"/>
  <c r="U268" i="72"/>
  <c r="S268" i="72"/>
  <c r="Q268" i="72"/>
  <c r="O268" i="72"/>
  <c r="M268" i="72"/>
  <c r="K268" i="72"/>
  <c r="I268" i="72"/>
  <c r="G268" i="72"/>
  <c r="E268" i="72"/>
  <c r="AL267" i="72"/>
  <c r="AK267" i="72"/>
  <c r="AL266" i="72"/>
  <c r="AK266" i="72"/>
  <c r="AL265" i="72"/>
  <c r="AK265" i="72"/>
  <c r="AL264" i="72"/>
  <c r="AK264" i="72"/>
  <c r="AL263" i="72"/>
  <c r="AK263" i="72"/>
  <c r="AL262" i="72"/>
  <c r="AK262" i="72"/>
  <c r="AL261" i="72"/>
  <c r="AK261" i="72"/>
  <c r="AL260" i="72"/>
  <c r="AK260" i="72"/>
  <c r="AL259" i="72"/>
  <c r="AI259" i="72"/>
  <c r="AG259" i="72"/>
  <c r="AE259" i="72"/>
  <c r="AC259" i="72"/>
  <c r="AA259" i="72"/>
  <c r="Y259" i="72"/>
  <c r="W259" i="72"/>
  <c r="U259" i="72"/>
  <c r="S259" i="72"/>
  <c r="Q259" i="72"/>
  <c r="O259" i="72"/>
  <c r="M259" i="72"/>
  <c r="K259" i="72"/>
  <c r="I259" i="72"/>
  <c r="G259" i="72"/>
  <c r="E259" i="72"/>
  <c r="AL258" i="72"/>
  <c r="AK258" i="72"/>
  <c r="AL257" i="72"/>
  <c r="AK257" i="72"/>
  <c r="AL256" i="72"/>
  <c r="AK256" i="72"/>
  <c r="AL255" i="72"/>
  <c r="AK255" i="72"/>
  <c r="AL254" i="72"/>
  <c r="AK254" i="72"/>
  <c r="AL253" i="72"/>
  <c r="AK253" i="72"/>
  <c r="AL252" i="72"/>
  <c r="AK252" i="72"/>
  <c r="AL251" i="72"/>
  <c r="AK251" i="72"/>
  <c r="AL250" i="72"/>
  <c r="AK250" i="72"/>
  <c r="AL249" i="72"/>
  <c r="AK249" i="72"/>
  <c r="AJ248" i="72"/>
  <c r="AI248" i="72"/>
  <c r="AH248" i="72"/>
  <c r="AF248" i="72"/>
  <c r="AD248" i="72"/>
  <c r="AC248" i="72"/>
  <c r="AB248" i="72"/>
  <c r="AA248" i="72"/>
  <c r="Z248" i="72"/>
  <c r="Y248" i="72"/>
  <c r="X248" i="72"/>
  <c r="W248" i="72"/>
  <c r="W269" i="72" s="1"/>
  <c r="J16" i="72" s="1"/>
  <c r="V248" i="72"/>
  <c r="T248" i="72"/>
  <c r="S248" i="72"/>
  <c r="R248" i="72"/>
  <c r="Q248" i="72"/>
  <c r="P248" i="72"/>
  <c r="O248" i="72"/>
  <c r="N248" i="72"/>
  <c r="M248" i="72"/>
  <c r="L248" i="72"/>
  <c r="J248" i="72"/>
  <c r="I248" i="72"/>
  <c r="H248" i="72"/>
  <c r="G248" i="72"/>
  <c r="F248" i="72"/>
  <c r="AL247" i="72"/>
  <c r="AK247" i="72"/>
  <c r="AL246" i="72"/>
  <c r="AK246" i="72"/>
  <c r="AL245" i="72"/>
  <c r="AK245" i="72"/>
  <c r="AL244" i="72"/>
  <c r="AK244" i="72"/>
  <c r="AL243" i="72"/>
  <c r="AK243" i="72"/>
  <c r="AL242" i="72"/>
  <c r="AK242" i="72"/>
  <c r="AL241" i="72"/>
  <c r="AK241" i="72"/>
  <c r="AL240" i="72"/>
  <c r="AK240" i="72"/>
  <c r="AL239" i="72"/>
  <c r="AK239" i="72"/>
  <c r="AL238" i="72"/>
  <c r="AK238" i="72"/>
  <c r="AL237" i="72"/>
  <c r="AL236" i="72"/>
  <c r="AK236" i="72"/>
  <c r="AL235" i="72"/>
  <c r="AL234" i="72"/>
  <c r="AK234" i="72"/>
  <c r="AL233" i="72"/>
  <c r="AK233" i="72"/>
  <c r="AL232" i="72"/>
  <c r="AK232" i="72"/>
  <c r="AL231" i="72"/>
  <c r="AK231" i="72"/>
  <c r="AL230" i="72"/>
  <c r="AK230" i="72"/>
  <c r="AL229" i="72"/>
  <c r="AK229" i="72"/>
  <c r="AL228" i="72"/>
  <c r="AK228" i="72"/>
  <c r="AL227" i="72"/>
  <c r="AK227" i="72"/>
  <c r="AL226" i="72"/>
  <c r="AK226" i="72"/>
  <c r="AL225" i="72"/>
  <c r="AL224" i="72"/>
  <c r="AK224" i="72"/>
  <c r="AL223" i="72"/>
  <c r="AL222" i="72"/>
  <c r="AL221" i="72"/>
  <c r="AL220" i="72"/>
  <c r="AK220" i="72"/>
  <c r="AL219" i="72"/>
  <c r="AK219" i="72"/>
  <c r="AL218" i="72"/>
  <c r="AL217" i="72"/>
  <c r="AK217" i="72"/>
  <c r="AL216" i="72"/>
  <c r="AL215" i="72"/>
  <c r="AL214" i="72"/>
  <c r="AL213" i="72"/>
  <c r="AL212" i="72"/>
  <c r="AL211" i="72"/>
  <c r="AL210" i="72"/>
  <c r="AK210" i="72"/>
  <c r="AL209" i="72"/>
  <c r="AL208" i="72"/>
  <c r="AK208" i="72"/>
  <c r="AL207" i="72"/>
  <c r="AK207" i="72"/>
  <c r="AL206" i="72"/>
  <c r="AL205" i="72"/>
  <c r="AK205" i="72"/>
  <c r="AL204" i="72"/>
  <c r="AL203" i="72"/>
  <c r="AL202" i="72"/>
  <c r="AG248" i="72"/>
  <c r="AL201" i="72"/>
  <c r="AL200" i="72"/>
  <c r="AL199" i="72"/>
  <c r="AL198" i="72"/>
  <c r="AK198" i="72"/>
  <c r="AL197" i="72"/>
  <c r="AK197" i="72"/>
  <c r="AL196" i="72"/>
  <c r="AK196" i="72"/>
  <c r="AE248" i="72"/>
  <c r="K248" i="72"/>
  <c r="E248" i="72"/>
  <c r="AI189" i="72"/>
  <c r="AG189" i="72"/>
  <c r="AE189" i="72"/>
  <c r="AC189" i="72"/>
  <c r="AA189" i="72"/>
  <c r="Y189" i="72"/>
  <c r="W189" i="72"/>
  <c r="U189" i="72"/>
  <c r="S189" i="72"/>
  <c r="Q189" i="72"/>
  <c r="O189" i="72"/>
  <c r="M189" i="72"/>
  <c r="K189" i="72"/>
  <c r="I189" i="72"/>
  <c r="G189" i="72"/>
  <c r="E189" i="72"/>
  <c r="AI180" i="72"/>
  <c r="AG180" i="72"/>
  <c r="AE180" i="72"/>
  <c r="AE190" i="72" s="1"/>
  <c r="H20" i="72" s="1"/>
  <c r="AC180" i="72"/>
  <c r="AA180" i="72"/>
  <c r="Y180" i="72"/>
  <c r="W180" i="72"/>
  <c r="U180" i="72"/>
  <c r="S180" i="72"/>
  <c r="Q180" i="72"/>
  <c r="O180" i="72"/>
  <c r="M180" i="72"/>
  <c r="K180" i="72"/>
  <c r="I180" i="72"/>
  <c r="G180" i="72"/>
  <c r="G190" i="72" s="1"/>
  <c r="E180" i="72"/>
  <c r="AJ169" i="72"/>
  <c r="AI169" i="72"/>
  <c r="AH169" i="72"/>
  <c r="AF169" i="72"/>
  <c r="AD169" i="72"/>
  <c r="AC169" i="72"/>
  <c r="AB169" i="72"/>
  <c r="AA169" i="72"/>
  <c r="Z169" i="72"/>
  <c r="Y169" i="72"/>
  <c r="X169" i="72"/>
  <c r="W169" i="72"/>
  <c r="V169" i="72"/>
  <c r="T169" i="72"/>
  <c r="S169" i="72"/>
  <c r="R169" i="72"/>
  <c r="Q169" i="72"/>
  <c r="P169" i="72"/>
  <c r="O169" i="72"/>
  <c r="N169" i="72"/>
  <c r="M169" i="72"/>
  <c r="L169" i="72"/>
  <c r="J169" i="72"/>
  <c r="I169" i="72"/>
  <c r="H169" i="72"/>
  <c r="G169" i="72"/>
  <c r="F169" i="72"/>
  <c r="AL166" i="72"/>
  <c r="AK166" i="72"/>
  <c r="AL165" i="72"/>
  <c r="AK165" i="72"/>
  <c r="AL164" i="72"/>
  <c r="AK164" i="72"/>
  <c r="AL163" i="72"/>
  <c r="AK163" i="72"/>
  <c r="AL162" i="72"/>
  <c r="AL161" i="72"/>
  <c r="AL160" i="72"/>
  <c r="AK160" i="72"/>
  <c r="AL159" i="72"/>
  <c r="AK159" i="72"/>
  <c r="AL158" i="72"/>
  <c r="AL157" i="72"/>
  <c r="AK157" i="72"/>
  <c r="AL156" i="72"/>
  <c r="AL155" i="72"/>
  <c r="AL154" i="72"/>
  <c r="AK154" i="72"/>
  <c r="AL153" i="72"/>
  <c r="AK153" i="72"/>
  <c r="AL152" i="72"/>
  <c r="AK152" i="72"/>
  <c r="AL151" i="72"/>
  <c r="AK151" i="72"/>
  <c r="AL150" i="72"/>
  <c r="AK150" i="72"/>
  <c r="AL149" i="72"/>
  <c r="AL148" i="72"/>
  <c r="AK148" i="72"/>
  <c r="AL147" i="72"/>
  <c r="AK147" i="72"/>
  <c r="AL146" i="72"/>
  <c r="AL145" i="72"/>
  <c r="AK145" i="72"/>
  <c r="AL144" i="72"/>
  <c r="AL143" i="72"/>
  <c r="AL142" i="72"/>
  <c r="AL141" i="72"/>
  <c r="AK141" i="72"/>
  <c r="AL140" i="72"/>
  <c r="AL139" i="72"/>
  <c r="AK139" i="72"/>
  <c r="AL138" i="72"/>
  <c r="AL137" i="72"/>
  <c r="AL136" i="72"/>
  <c r="AK136" i="72"/>
  <c r="AL135" i="72"/>
  <c r="AK135" i="72"/>
  <c r="AL134" i="72"/>
  <c r="AK134" i="72"/>
  <c r="AL133" i="72"/>
  <c r="AK133" i="72"/>
  <c r="AL132" i="72"/>
  <c r="AK132" i="72"/>
  <c r="AL131" i="72"/>
  <c r="AL130" i="72"/>
  <c r="AK130" i="72"/>
  <c r="AL129" i="72"/>
  <c r="AK129" i="72"/>
  <c r="AL128" i="72"/>
  <c r="AK128" i="72"/>
  <c r="AL127" i="72"/>
  <c r="AK127" i="72"/>
  <c r="AL126" i="72"/>
  <c r="AK126" i="72"/>
  <c r="AL125" i="72"/>
  <c r="AL124" i="72"/>
  <c r="AK124" i="72"/>
  <c r="AL123" i="72"/>
  <c r="AK123" i="72"/>
  <c r="AL122" i="72"/>
  <c r="AK122" i="72"/>
  <c r="AL121" i="72"/>
  <c r="AK121" i="72"/>
  <c r="AL120" i="72"/>
  <c r="AK120" i="72"/>
  <c r="AL119" i="72"/>
  <c r="AL118" i="72"/>
  <c r="AG169" i="72"/>
  <c r="AK118" i="72"/>
  <c r="AL117" i="72"/>
  <c r="AE169" i="72"/>
  <c r="K169" i="72"/>
  <c r="AK117" i="72"/>
  <c r="AI110" i="72"/>
  <c r="AH110" i="72"/>
  <c r="AG110" i="72"/>
  <c r="AF110" i="72"/>
  <c r="AE110" i="72"/>
  <c r="AD110" i="72"/>
  <c r="AC110" i="72"/>
  <c r="AB110" i="72"/>
  <c r="AA110" i="72"/>
  <c r="Z110" i="72"/>
  <c r="Y110" i="72"/>
  <c r="X110" i="72"/>
  <c r="W110" i="72"/>
  <c r="V110" i="72"/>
  <c r="U110" i="72"/>
  <c r="T110" i="72"/>
  <c r="S110" i="72"/>
  <c r="R110" i="72"/>
  <c r="Q110" i="72"/>
  <c r="P110" i="72"/>
  <c r="O110" i="72"/>
  <c r="N110" i="72"/>
  <c r="M110" i="72"/>
  <c r="L110" i="72"/>
  <c r="K110" i="72"/>
  <c r="J110" i="72"/>
  <c r="I110" i="72"/>
  <c r="H110" i="72"/>
  <c r="G110" i="72"/>
  <c r="F110" i="72"/>
  <c r="E110" i="72"/>
  <c r="AL109" i="72"/>
  <c r="AK109" i="72"/>
  <c r="AL108" i="72"/>
  <c r="AK108" i="72"/>
  <c r="AL107" i="72"/>
  <c r="AK107" i="72"/>
  <c r="AL106" i="72"/>
  <c r="AK106" i="72"/>
  <c r="AL105" i="72"/>
  <c r="AK105" i="72"/>
  <c r="AL104" i="72"/>
  <c r="AK104" i="72"/>
  <c r="AL103" i="72"/>
  <c r="AK103" i="72"/>
  <c r="AL102" i="72"/>
  <c r="AK102" i="72"/>
  <c r="AJ101" i="72"/>
  <c r="AI101" i="72"/>
  <c r="AH101" i="72"/>
  <c r="AG101" i="72"/>
  <c r="AF101" i="72"/>
  <c r="AE101" i="72"/>
  <c r="AD101" i="72"/>
  <c r="AC101" i="72"/>
  <c r="AB101" i="72"/>
  <c r="AA101" i="72"/>
  <c r="Z101" i="72"/>
  <c r="Y101" i="72"/>
  <c r="X101" i="72"/>
  <c r="W101" i="72"/>
  <c r="V101" i="72"/>
  <c r="U101" i="72"/>
  <c r="T101" i="72"/>
  <c r="S101" i="72"/>
  <c r="R101" i="72"/>
  <c r="Q101" i="72"/>
  <c r="P101" i="72"/>
  <c r="O101" i="72"/>
  <c r="N101" i="72"/>
  <c r="M101" i="72"/>
  <c r="L101" i="72"/>
  <c r="K101" i="72"/>
  <c r="J101" i="72"/>
  <c r="I101" i="72"/>
  <c r="H101" i="72"/>
  <c r="G101" i="72"/>
  <c r="F101" i="72"/>
  <c r="E101" i="72"/>
  <c r="AL100" i="72"/>
  <c r="AK100" i="72"/>
  <c r="AL99" i="72"/>
  <c r="AK99" i="72"/>
  <c r="AL98" i="72"/>
  <c r="AK98" i="72"/>
  <c r="AL97" i="72"/>
  <c r="AK97" i="72"/>
  <c r="AL96" i="72"/>
  <c r="AK96" i="72"/>
  <c r="AL95" i="72"/>
  <c r="AK95" i="72"/>
  <c r="AL94" i="72"/>
  <c r="AK94" i="72"/>
  <c r="AL93" i="72"/>
  <c r="AK93" i="72"/>
  <c r="AL92" i="72"/>
  <c r="AK92" i="72"/>
  <c r="AL91" i="72"/>
  <c r="AK91" i="72"/>
  <c r="AJ90" i="72"/>
  <c r="AI90" i="72"/>
  <c r="AH90" i="72"/>
  <c r="AG90" i="72"/>
  <c r="AF90" i="72"/>
  <c r="AE90" i="72"/>
  <c r="AD90" i="72"/>
  <c r="AC90" i="72"/>
  <c r="AB90" i="72"/>
  <c r="AA90" i="72"/>
  <c r="Z90" i="72"/>
  <c r="Y90" i="72"/>
  <c r="X90" i="72"/>
  <c r="V90" i="72"/>
  <c r="U90" i="72"/>
  <c r="T90" i="72"/>
  <c r="S90" i="72"/>
  <c r="R90" i="72"/>
  <c r="Q90" i="72"/>
  <c r="P90" i="72"/>
  <c r="O90" i="72"/>
  <c r="N90" i="72"/>
  <c r="L90" i="72"/>
  <c r="K90" i="72"/>
  <c r="J90" i="72"/>
  <c r="I90" i="72"/>
  <c r="H90" i="72"/>
  <c r="G90" i="72"/>
  <c r="F90" i="72"/>
  <c r="E90" i="72"/>
  <c r="AL87" i="72"/>
  <c r="AK87" i="72"/>
  <c r="AL86" i="72"/>
  <c r="AK86" i="72"/>
  <c r="AL85" i="72"/>
  <c r="AK85" i="72"/>
  <c r="AL84" i="72"/>
  <c r="AK84" i="72"/>
  <c r="AL83" i="72"/>
  <c r="AK83" i="72"/>
  <c r="AL82" i="72"/>
  <c r="AK82" i="72"/>
  <c r="AL81" i="72"/>
  <c r="AK81" i="72"/>
  <c r="AL80" i="72"/>
  <c r="AK80" i="72"/>
  <c r="AL79" i="72"/>
  <c r="AK79" i="72"/>
  <c r="AL78" i="72"/>
  <c r="AK78" i="72"/>
  <c r="AL77" i="72"/>
  <c r="AK77" i="72"/>
  <c r="AL76" i="72"/>
  <c r="AK76" i="72"/>
  <c r="AL75" i="72"/>
  <c r="AK75" i="72"/>
  <c r="AL74" i="72"/>
  <c r="AK74" i="72"/>
  <c r="AL73" i="72"/>
  <c r="AK73" i="72"/>
  <c r="AL72" i="72"/>
  <c r="AK72" i="72"/>
  <c r="AL71" i="72"/>
  <c r="AK71" i="72"/>
  <c r="AL70" i="72"/>
  <c r="AK70" i="72"/>
  <c r="AL69" i="72"/>
  <c r="AK69" i="72"/>
  <c r="AL68" i="72"/>
  <c r="AK68" i="72"/>
  <c r="AL67" i="72"/>
  <c r="AK67" i="72"/>
  <c r="AL66" i="72"/>
  <c r="AK66" i="72"/>
  <c r="AL65" i="72"/>
  <c r="AK65" i="72"/>
  <c r="AL64" i="72"/>
  <c r="AK64" i="72"/>
  <c r="AL63" i="72"/>
  <c r="AK63" i="72"/>
  <c r="AL62" i="72"/>
  <c r="AK62" i="72"/>
  <c r="AL61" i="72"/>
  <c r="AK61" i="72"/>
  <c r="AL60" i="72"/>
  <c r="AK60" i="72"/>
  <c r="AL59" i="72"/>
  <c r="AK59" i="72"/>
  <c r="AL58" i="72"/>
  <c r="AK58" i="72"/>
  <c r="AL57" i="72"/>
  <c r="AK57" i="72"/>
  <c r="AL56" i="72"/>
  <c r="AK56" i="72"/>
  <c r="AL55" i="72"/>
  <c r="AK55" i="72"/>
  <c r="AL54" i="72"/>
  <c r="AK54" i="72"/>
  <c r="AL53" i="72"/>
  <c r="AK53" i="72"/>
  <c r="AL52" i="72"/>
  <c r="AK52" i="72"/>
  <c r="AL51" i="72"/>
  <c r="AK51" i="72"/>
  <c r="AL50" i="72"/>
  <c r="AK50" i="72"/>
  <c r="AL49" i="72"/>
  <c r="AK49" i="72"/>
  <c r="AL48" i="72"/>
  <c r="AK48" i="72"/>
  <c r="AL47" i="72"/>
  <c r="AK47" i="72"/>
  <c r="AL46" i="72"/>
  <c r="AK46" i="72"/>
  <c r="AL45" i="72"/>
  <c r="AK45" i="72"/>
  <c r="AL44" i="72"/>
  <c r="AK44" i="72"/>
  <c r="AL43" i="72"/>
  <c r="AK43" i="72"/>
  <c r="AL42" i="72"/>
  <c r="AK42" i="72"/>
  <c r="AL41" i="72"/>
  <c r="AK41" i="72"/>
  <c r="AL40" i="72"/>
  <c r="AK40" i="72"/>
  <c r="AL39" i="72"/>
  <c r="AK39" i="72"/>
  <c r="AL38" i="72"/>
  <c r="AK38" i="72"/>
  <c r="O23" i="72"/>
  <c r="N23" i="72"/>
  <c r="L23" i="72"/>
  <c r="K23" i="72"/>
  <c r="I23" i="72"/>
  <c r="G23" i="72"/>
  <c r="E23" i="72"/>
  <c r="M10" i="72"/>
  <c r="J10" i="72"/>
  <c r="O8" i="72"/>
  <c r="N8" i="72"/>
  <c r="N25" i="72" s="1"/>
  <c r="L8" i="72"/>
  <c r="I8" i="72"/>
  <c r="I25" i="72" s="1"/>
  <c r="G8" i="72"/>
  <c r="E8" i="72"/>
  <c r="E101" i="71"/>
  <c r="F101" i="71"/>
  <c r="G101" i="71"/>
  <c r="H101" i="71"/>
  <c r="I101" i="71"/>
  <c r="J101" i="71"/>
  <c r="K101" i="71"/>
  <c r="L101" i="71"/>
  <c r="M101" i="71"/>
  <c r="N101" i="71"/>
  <c r="O101" i="71"/>
  <c r="P101" i="71"/>
  <c r="Q101" i="71"/>
  <c r="R101" i="71"/>
  <c r="S101" i="71"/>
  <c r="T101" i="71"/>
  <c r="U101" i="71"/>
  <c r="V101" i="71"/>
  <c r="W101" i="71"/>
  <c r="X101" i="71"/>
  <c r="Y101" i="71"/>
  <c r="Z101" i="71"/>
  <c r="AA101" i="71"/>
  <c r="AB101" i="71"/>
  <c r="AC101" i="71"/>
  <c r="AD101" i="71"/>
  <c r="AE101" i="71"/>
  <c r="AF101" i="71"/>
  <c r="AG101" i="71"/>
  <c r="AH101" i="71"/>
  <c r="AI101" i="71"/>
  <c r="AJ101" i="71"/>
  <c r="O25" i="71"/>
  <c r="N25" i="71"/>
  <c r="M25" i="71"/>
  <c r="L25" i="71"/>
  <c r="K25" i="71"/>
  <c r="J25" i="71"/>
  <c r="G25" i="71"/>
  <c r="I25" i="71"/>
  <c r="E110" i="71"/>
  <c r="F110" i="71"/>
  <c r="G110" i="71"/>
  <c r="H110" i="71"/>
  <c r="I110" i="71"/>
  <c r="J110" i="71"/>
  <c r="K110" i="71"/>
  <c r="L110" i="71"/>
  <c r="M110" i="71"/>
  <c r="N110" i="71"/>
  <c r="O110" i="71"/>
  <c r="P110" i="71"/>
  <c r="Q110" i="71"/>
  <c r="R110" i="71"/>
  <c r="S110" i="71"/>
  <c r="T110" i="71"/>
  <c r="U110" i="71"/>
  <c r="V110" i="71"/>
  <c r="W110" i="71"/>
  <c r="X110" i="71"/>
  <c r="Y110" i="71"/>
  <c r="Z110" i="71"/>
  <c r="AA110" i="71"/>
  <c r="AB110" i="71"/>
  <c r="AC110" i="71"/>
  <c r="AD110" i="71"/>
  <c r="AE110" i="71"/>
  <c r="AF110" i="71"/>
  <c r="AG110" i="71"/>
  <c r="AH110" i="71"/>
  <c r="AI110" i="71"/>
  <c r="AL110" i="71"/>
  <c r="AK110" i="71"/>
  <c r="AK103" i="71"/>
  <c r="AL103" i="71"/>
  <c r="AL104" i="71"/>
  <c r="AL105" i="71"/>
  <c r="AL106" i="71"/>
  <c r="AL107" i="71"/>
  <c r="AL108" i="71"/>
  <c r="AL109" i="71"/>
  <c r="AL102" i="71"/>
  <c r="AK104" i="71"/>
  <c r="AK105" i="71"/>
  <c r="AK106" i="71"/>
  <c r="AK107" i="71"/>
  <c r="AK108" i="71"/>
  <c r="AK109" i="71"/>
  <c r="AK102" i="71"/>
  <c r="AL92" i="71"/>
  <c r="AL93" i="71"/>
  <c r="AL94" i="71"/>
  <c r="AL95" i="71"/>
  <c r="AL96" i="71"/>
  <c r="AL97" i="71"/>
  <c r="AL98" i="71"/>
  <c r="AL99" i="71"/>
  <c r="AL100" i="71"/>
  <c r="AL91" i="71"/>
  <c r="AK92" i="71"/>
  <c r="AK93" i="71"/>
  <c r="AK94" i="71"/>
  <c r="AK95" i="71"/>
  <c r="AK96" i="71"/>
  <c r="AK97" i="71"/>
  <c r="AK98" i="71"/>
  <c r="AK99" i="71"/>
  <c r="AK100" i="71"/>
  <c r="AK91" i="71"/>
  <c r="L25" i="72" l="1"/>
  <c r="O25" i="72"/>
  <c r="E111" i="72"/>
  <c r="F5" i="72" s="1"/>
  <c r="K8" i="72"/>
  <c r="K25" i="72" s="1"/>
  <c r="AE111" i="72"/>
  <c r="F20" i="72" s="1"/>
  <c r="M190" i="72"/>
  <c r="H11" i="72" s="1"/>
  <c r="AL169" i="72"/>
  <c r="Q348" i="72"/>
  <c r="M13" i="72" s="1"/>
  <c r="M348" i="72"/>
  <c r="AG269" i="72"/>
  <c r="J21" i="72" s="1"/>
  <c r="AK278" i="72"/>
  <c r="AK315" i="72"/>
  <c r="AK316" i="72"/>
  <c r="AK318" i="72"/>
  <c r="AK322" i="72"/>
  <c r="AK324" i="72"/>
  <c r="AK286" i="72"/>
  <c r="AK298" i="72"/>
  <c r="AK275" i="72"/>
  <c r="AK277" i="72"/>
  <c r="M269" i="72"/>
  <c r="J11" i="72" s="1"/>
  <c r="S269" i="72"/>
  <c r="J14" i="72" s="1"/>
  <c r="AK299" i="72"/>
  <c r="AK301" i="72"/>
  <c r="G348" i="72"/>
  <c r="M6" i="72" s="1"/>
  <c r="AL327" i="72"/>
  <c r="S348" i="72"/>
  <c r="M14" i="72" s="1"/>
  <c r="AE348" i="72"/>
  <c r="M20" i="72" s="1"/>
  <c r="W348" i="72"/>
  <c r="M16" i="72" s="1"/>
  <c r="Y348" i="72"/>
  <c r="M17" i="72" s="1"/>
  <c r="AA348" i="72"/>
  <c r="M18" i="72" s="1"/>
  <c r="AC348" i="72"/>
  <c r="M19" i="72" s="1"/>
  <c r="I348" i="72"/>
  <c r="M7" i="72" s="1"/>
  <c r="AI348" i="72"/>
  <c r="M22" i="72" s="1"/>
  <c r="O348" i="72"/>
  <c r="M12" i="72" s="1"/>
  <c r="G269" i="72"/>
  <c r="I269" i="72"/>
  <c r="AK259" i="72"/>
  <c r="AI269" i="72"/>
  <c r="J22" i="72" s="1"/>
  <c r="U248" i="72"/>
  <c r="AK248" i="72" s="1"/>
  <c r="AK212" i="72"/>
  <c r="AK214" i="72"/>
  <c r="AK216" i="72"/>
  <c r="AK218" i="72"/>
  <c r="Q269" i="72"/>
  <c r="J13" i="72" s="1"/>
  <c r="AK300" i="72"/>
  <c r="AK302" i="72"/>
  <c r="AK304" i="72"/>
  <c r="AK306" i="72"/>
  <c r="AK199" i="72"/>
  <c r="AK201" i="72"/>
  <c r="Y269" i="72"/>
  <c r="J17" i="72" s="1"/>
  <c r="U327" i="72"/>
  <c r="U348" i="72" s="1"/>
  <c r="M15" i="72" s="1"/>
  <c r="AK287" i="72"/>
  <c r="AK289" i="72"/>
  <c r="AK222" i="72"/>
  <c r="AA269" i="72"/>
  <c r="J18" i="72" s="1"/>
  <c r="AK211" i="72"/>
  <c r="AK213" i="72"/>
  <c r="E269" i="72"/>
  <c r="AC269" i="72"/>
  <c r="J19" i="72" s="1"/>
  <c r="AK203" i="72"/>
  <c r="AK223" i="72"/>
  <c r="AK225" i="72"/>
  <c r="AK280" i="72"/>
  <c r="AK282" i="72"/>
  <c r="AK291" i="72"/>
  <c r="AK311" i="72"/>
  <c r="AK313" i="72"/>
  <c r="AK209" i="72"/>
  <c r="AK297" i="72"/>
  <c r="AK309" i="72"/>
  <c r="AK200" i="72"/>
  <c r="AK202" i="72"/>
  <c r="AK204" i="72"/>
  <c r="AK206" i="72"/>
  <c r="AK215" i="72"/>
  <c r="AK235" i="72"/>
  <c r="AK237" i="72"/>
  <c r="AL248" i="72"/>
  <c r="AK288" i="72"/>
  <c r="AK290" i="72"/>
  <c r="AK292" i="72"/>
  <c r="AK294" i="72"/>
  <c r="AK303" i="72"/>
  <c r="AK323" i="72"/>
  <c r="AK221" i="72"/>
  <c r="O269" i="72"/>
  <c r="J12" i="72" s="1"/>
  <c r="AK321" i="72"/>
  <c r="AC190" i="72"/>
  <c r="H19" i="72" s="1"/>
  <c r="W190" i="72"/>
  <c r="H16" i="72" s="1"/>
  <c r="Y190" i="72"/>
  <c r="H17" i="72" s="1"/>
  <c r="AI190" i="72"/>
  <c r="H22" i="72" s="1"/>
  <c r="AK162" i="72"/>
  <c r="AK125" i="72"/>
  <c r="Q190" i="72"/>
  <c r="H13" i="72" s="1"/>
  <c r="I190" i="72"/>
  <c r="AG190" i="72"/>
  <c r="H21" i="72" s="1"/>
  <c r="AK137" i="72"/>
  <c r="U169" i="72"/>
  <c r="U190" i="72" s="1"/>
  <c r="H15" i="72" s="1"/>
  <c r="AK143" i="72"/>
  <c r="O190" i="72"/>
  <c r="H12" i="72" s="1"/>
  <c r="AK149" i="72"/>
  <c r="AK119" i="72"/>
  <c r="AK131" i="72"/>
  <c r="AK140" i="72"/>
  <c r="AK142" i="72"/>
  <c r="AK144" i="72"/>
  <c r="AK146" i="72"/>
  <c r="AK155" i="72"/>
  <c r="AA190" i="72"/>
  <c r="H18" i="72" s="1"/>
  <c r="S190" i="72"/>
  <c r="H14" i="72" s="1"/>
  <c r="AK138" i="72"/>
  <c r="AK161" i="72"/>
  <c r="AK156" i="72"/>
  <c r="AK158" i="72"/>
  <c r="AL101" i="72"/>
  <c r="AC111" i="72"/>
  <c r="F19" i="72" s="1"/>
  <c r="AL110" i="72"/>
  <c r="AK110" i="72"/>
  <c r="O111" i="72"/>
  <c r="F12" i="72" s="1"/>
  <c r="M111" i="72"/>
  <c r="F11" i="72" s="1"/>
  <c r="S111" i="72"/>
  <c r="F14" i="72" s="1"/>
  <c r="AK101" i="72"/>
  <c r="W111" i="72"/>
  <c r="F16" i="72" s="1"/>
  <c r="Q111" i="72"/>
  <c r="F13" i="72" s="1"/>
  <c r="G111" i="72"/>
  <c r="F6" i="72" s="1"/>
  <c r="I111" i="72"/>
  <c r="F7" i="72" s="1"/>
  <c r="AG111" i="72"/>
  <c r="F21" i="72" s="1"/>
  <c r="U111" i="72"/>
  <c r="F15" i="72" s="1"/>
  <c r="AK90" i="72"/>
  <c r="AI111" i="72"/>
  <c r="F22" i="72" s="1"/>
  <c r="AL90" i="72"/>
  <c r="Y111" i="72"/>
  <c r="F17" i="72" s="1"/>
  <c r="AA111" i="72"/>
  <c r="F18" i="72" s="1"/>
  <c r="U269" i="72"/>
  <c r="J15" i="72" s="1"/>
  <c r="AE269" i="72"/>
  <c r="J20" i="72" s="1"/>
  <c r="AG348" i="72"/>
  <c r="M21" i="72" s="1"/>
  <c r="M11" i="72"/>
  <c r="E327" i="72"/>
  <c r="E348" i="72" s="1"/>
  <c r="M5" i="72" s="1"/>
  <c r="E169" i="72"/>
  <c r="E190" i="72" s="1"/>
  <c r="G25" i="72"/>
  <c r="AK268" i="72"/>
  <c r="AL101" i="71"/>
  <c r="AK101" i="71"/>
  <c r="AK169" i="72" l="1"/>
  <c r="M8" i="72"/>
  <c r="AK327" i="72"/>
  <c r="J8" i="72"/>
  <c r="M23" i="72"/>
  <c r="H23" i="72"/>
  <c r="F8" i="72"/>
  <c r="AL111" i="72"/>
  <c r="F23" i="72"/>
  <c r="H8" i="72"/>
  <c r="AL190" i="72"/>
  <c r="J23" i="72"/>
  <c r="AL348" i="72"/>
  <c r="AL269" i="72"/>
  <c r="M25" i="72" l="1"/>
  <c r="J25" i="72"/>
  <c r="H25" i="72"/>
  <c r="L89" i="1"/>
  <c r="M9" i="1"/>
  <c r="M12" i="1"/>
  <c r="M13" i="1"/>
  <c r="M14" i="1"/>
  <c r="M15" i="1"/>
  <c r="M19" i="1"/>
  <c r="M20" i="1"/>
  <c r="M21" i="1"/>
  <c r="M24" i="1"/>
  <c r="M25" i="1"/>
  <c r="M28" i="1"/>
  <c r="M29" i="1"/>
  <c r="M30" i="1"/>
  <c r="M33" i="1"/>
  <c r="M34" i="1"/>
  <c r="M36" i="1"/>
  <c r="M37" i="1"/>
  <c r="M38" i="1"/>
  <c r="M39" i="1"/>
  <c r="M40" i="1"/>
  <c r="M41" i="1"/>
  <c r="M42" i="1"/>
  <c r="M44" i="1"/>
  <c r="M45" i="1"/>
  <c r="M46" i="1"/>
  <c r="M47" i="1"/>
  <c r="M48" i="1"/>
  <c r="M49" i="1"/>
  <c r="M51" i="1"/>
  <c r="M52" i="1"/>
  <c r="M53" i="1"/>
  <c r="M54" i="1"/>
  <c r="M55" i="1"/>
  <c r="M56" i="1"/>
  <c r="M61" i="1"/>
  <c r="M62" i="1"/>
  <c r="M63" i="1"/>
  <c r="M64" i="1"/>
  <c r="M67" i="1"/>
  <c r="M68" i="1"/>
  <c r="M71" i="1"/>
  <c r="M72" i="1"/>
  <c r="M78" i="1"/>
  <c r="M79" i="1"/>
  <c r="M80" i="1"/>
  <c r="M81" i="1"/>
  <c r="M82" i="1"/>
  <c r="M83" i="1"/>
  <c r="M84" i="1"/>
  <c r="M87" i="1"/>
  <c r="M88" i="1"/>
  <c r="M89" i="1"/>
  <c r="M90" i="1"/>
  <c r="M91" i="1"/>
  <c r="M92" i="1"/>
  <c r="M93" i="1"/>
  <c r="M94" i="1"/>
  <c r="M97" i="1"/>
  <c r="M98" i="1"/>
  <c r="M99" i="1"/>
  <c r="M100" i="1"/>
  <c r="M103" i="1"/>
  <c r="M104" i="1"/>
  <c r="M105" i="1"/>
  <c r="M106" i="1"/>
  <c r="M107" i="1"/>
  <c r="M110" i="1"/>
  <c r="M111" i="1"/>
  <c r="M112" i="1"/>
  <c r="M113" i="1"/>
  <c r="M116" i="1"/>
  <c r="M118" i="1"/>
  <c r="M119" i="1"/>
  <c r="M120" i="1"/>
  <c r="M121" i="1"/>
  <c r="M122" i="1"/>
  <c r="M123" i="1"/>
  <c r="M124" i="1"/>
  <c r="M125" i="1"/>
  <c r="M128" i="1"/>
  <c r="M129" i="1"/>
  <c r="M130" i="1"/>
  <c r="M132" i="1"/>
  <c r="M133" i="1"/>
  <c r="M134" i="1"/>
  <c r="M135" i="1"/>
  <c r="M136" i="1"/>
  <c r="M137" i="1"/>
  <c r="M138" i="1"/>
  <c r="M139" i="1"/>
  <c r="M140" i="1"/>
  <c r="M141" i="1"/>
  <c r="M142" i="1"/>
  <c r="M144" i="1"/>
  <c r="M145" i="1"/>
  <c r="M146" i="1"/>
  <c r="M147" i="1"/>
  <c r="M148" i="1"/>
  <c r="M149" i="1"/>
  <c r="M150" i="1"/>
  <c r="M151" i="1"/>
  <c r="M152" i="1"/>
  <c r="M153" i="1"/>
  <c r="M154" i="1"/>
  <c r="M156" i="1"/>
  <c r="M157" i="1"/>
  <c r="M158" i="1"/>
  <c r="M159" i="1"/>
  <c r="M160" i="1"/>
  <c r="M161" i="1"/>
  <c r="M162" i="1"/>
  <c r="M163" i="1"/>
  <c r="M164" i="1"/>
  <c r="M165" i="1"/>
  <c r="M166" i="1"/>
  <c r="M168" i="1"/>
  <c r="M169" i="1"/>
  <c r="M170" i="1"/>
  <c r="M171" i="1"/>
  <c r="M172" i="1"/>
  <c r="M174" i="1"/>
  <c r="M175" i="1"/>
  <c r="M176" i="1"/>
  <c r="M177" i="1"/>
  <c r="M178" i="1"/>
  <c r="M179" i="1"/>
  <c r="M180" i="1"/>
  <c r="M181"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8" i="1"/>
  <c r="M229" i="1"/>
  <c r="M230" i="1"/>
  <c r="M231" i="1"/>
  <c r="M232" i="1"/>
  <c r="M233" i="1"/>
  <c r="M234" i="1"/>
  <c r="M235" i="1"/>
  <c r="M236" i="1"/>
  <c r="M238" i="1"/>
  <c r="M239" i="1"/>
  <c r="M240" i="1"/>
  <c r="M241" i="1"/>
  <c r="M242" i="1"/>
  <c r="M243" i="1"/>
  <c r="M244" i="1"/>
  <c r="M245" i="1"/>
  <c r="M246" i="1"/>
  <c r="M247" i="1"/>
  <c r="M250" i="1"/>
  <c r="M251" i="1"/>
  <c r="M252" i="1"/>
  <c r="M253" i="1"/>
  <c r="M254" i="1"/>
  <c r="M255" i="1"/>
  <c r="M256" i="1"/>
  <c r="M257" i="1"/>
  <c r="M258" i="1"/>
  <c r="M259" i="1"/>
  <c r="M261" i="1"/>
  <c r="M262" i="1"/>
  <c r="M263" i="1"/>
  <c r="M265" i="1"/>
  <c r="M266" i="1"/>
  <c r="M267" i="1"/>
  <c r="M269" i="1"/>
  <c r="M270" i="1"/>
  <c r="M271" i="1"/>
  <c r="M272" i="1"/>
  <c r="M274" i="1"/>
  <c r="M275" i="1"/>
  <c r="M276" i="1"/>
  <c r="M277" i="1"/>
  <c r="M278" i="1"/>
  <c r="M8" i="1"/>
  <c r="M7" i="1" l="1"/>
  <c r="M280" i="1"/>
  <c r="M127" i="1" l="1"/>
  <c r="M117" i="1"/>
  <c r="M109" i="1"/>
  <c r="M102" i="1"/>
  <c r="M86" i="1"/>
  <c r="M96" i="1"/>
  <c r="M70" i="1"/>
  <c r="M32" i="1"/>
  <c r="M27" i="1"/>
  <c r="M23" i="1"/>
  <c r="M18" i="1"/>
  <c r="M11" i="1"/>
  <c r="M6" i="1" l="1"/>
  <c r="M66" i="1"/>
  <c r="M60" i="1" l="1"/>
  <c r="M281" i="1" l="1"/>
  <c r="M282" i="1" s="1"/>
  <c r="M74" i="1"/>
  <c r="E8" i="71" l="1"/>
  <c r="E23" i="71"/>
  <c r="B67" i="1"/>
  <c r="I70" i="1"/>
  <c r="J70" i="1"/>
  <c r="I202" i="1"/>
  <c r="I117" i="1"/>
  <c r="J117" i="1"/>
  <c r="I127" i="1"/>
  <c r="J127" i="1"/>
  <c r="I274" i="1"/>
  <c r="J274" i="1"/>
  <c r="I275" i="1"/>
  <c r="J275" i="1"/>
  <c r="I270" i="1"/>
  <c r="J270" i="1"/>
  <c r="I269" i="1"/>
  <c r="J269" i="1"/>
  <c r="I251" i="1"/>
  <c r="J251" i="1"/>
  <c r="I261" i="1"/>
  <c r="J261" i="1"/>
  <c r="I265" i="1"/>
  <c r="J265" i="1"/>
  <c r="I228" i="1"/>
  <c r="J228" i="1"/>
  <c r="I238" i="1"/>
  <c r="J238" i="1"/>
  <c r="I220" i="1"/>
  <c r="J220" i="1"/>
  <c r="I214" i="1"/>
  <c r="J214" i="1"/>
  <c r="I208" i="1"/>
  <c r="J208" i="1"/>
  <c r="J202" i="1"/>
  <c r="I196" i="1"/>
  <c r="J196" i="1"/>
  <c r="I168" i="1"/>
  <c r="J168" i="1"/>
  <c r="I174" i="1"/>
  <c r="J174" i="1"/>
  <c r="I190" i="1"/>
  <c r="J190" i="1"/>
  <c r="I184" i="1"/>
  <c r="J184" i="1"/>
  <c r="J250" i="1" l="1"/>
  <c r="I250" i="1"/>
  <c r="I183" i="1"/>
  <c r="J183" i="1"/>
  <c r="I160" i="1" l="1"/>
  <c r="I156" i="1" s="1"/>
  <c r="J160" i="1"/>
  <c r="J156" i="1" s="1"/>
  <c r="I148" i="1"/>
  <c r="I144" i="1" s="1"/>
  <c r="J148" i="1"/>
  <c r="J144" i="1" s="1"/>
  <c r="I136" i="1"/>
  <c r="I132" i="1" s="1"/>
  <c r="J136" i="1"/>
  <c r="J132" i="1" s="1"/>
  <c r="I109" i="1"/>
  <c r="J109" i="1"/>
  <c r="I79" i="1"/>
  <c r="J79" i="1"/>
  <c r="I86" i="1"/>
  <c r="J86" i="1"/>
  <c r="I96" i="1"/>
  <c r="J96" i="1"/>
  <c r="I102" i="1"/>
  <c r="J102" i="1"/>
  <c r="I88" i="1"/>
  <c r="J88" i="1"/>
  <c r="I44" i="1"/>
  <c r="J44" i="1"/>
  <c r="I51" i="1"/>
  <c r="J51" i="1"/>
  <c r="I66" i="1"/>
  <c r="J66" i="1"/>
  <c r="I61" i="1"/>
  <c r="J61" i="1"/>
  <c r="AL246" i="71"/>
  <c r="AL247" i="71"/>
  <c r="AL249" i="71"/>
  <c r="AL250" i="71"/>
  <c r="AL251" i="71"/>
  <c r="AL252" i="71"/>
  <c r="AL253" i="71"/>
  <c r="AL254" i="71"/>
  <c r="AL255" i="71"/>
  <c r="AL256" i="71"/>
  <c r="AL257" i="71"/>
  <c r="AL258" i="71"/>
  <c r="AL259" i="71"/>
  <c r="AL260" i="71"/>
  <c r="AL261" i="71"/>
  <c r="AL262" i="71"/>
  <c r="AL263" i="71"/>
  <c r="AL264" i="71"/>
  <c r="AL265" i="71"/>
  <c r="AL266" i="71"/>
  <c r="AL267" i="71"/>
  <c r="AL268" i="71"/>
  <c r="AK246" i="71"/>
  <c r="AK247" i="71"/>
  <c r="AK249" i="71"/>
  <c r="AK250" i="71"/>
  <c r="AK251" i="71"/>
  <c r="AK252" i="71"/>
  <c r="AK253" i="71"/>
  <c r="AK254" i="71"/>
  <c r="AK255" i="71"/>
  <c r="AK256" i="71"/>
  <c r="AK257" i="71"/>
  <c r="AK258" i="71"/>
  <c r="AK260" i="71"/>
  <c r="AK261" i="71"/>
  <c r="AK262" i="71"/>
  <c r="AK263" i="71"/>
  <c r="AK264" i="71"/>
  <c r="AK265" i="71"/>
  <c r="AK266" i="71"/>
  <c r="AK267" i="71"/>
  <c r="AA259" i="71"/>
  <c r="J37" i="1"/>
  <c r="I37" i="1"/>
  <c r="L38" i="1"/>
  <c r="I32" i="1"/>
  <c r="J32" i="1"/>
  <c r="I27" i="1"/>
  <c r="J27" i="1"/>
  <c r="I23" i="1"/>
  <c r="J23" i="1"/>
  <c r="I18" i="1"/>
  <c r="J18" i="1"/>
  <c r="I11" i="1"/>
  <c r="J11" i="1"/>
  <c r="J7" i="1"/>
  <c r="K7" i="1"/>
  <c r="I7" i="1"/>
  <c r="J78" i="1" l="1"/>
  <c r="I78" i="1"/>
  <c r="J116" i="1"/>
  <c r="I116" i="1"/>
  <c r="I36" i="1"/>
  <c r="J36" i="1"/>
  <c r="J60" i="1"/>
  <c r="I60" i="1"/>
  <c r="J6" i="1"/>
  <c r="I6" i="1"/>
  <c r="K6" i="1"/>
  <c r="K74" i="1" s="1"/>
  <c r="K280" i="1" l="1"/>
  <c r="I281" i="1"/>
  <c r="J280" i="1"/>
  <c r="K281" i="1"/>
  <c r="I280" i="1"/>
  <c r="J281" i="1"/>
  <c r="I74" i="1"/>
  <c r="J74" i="1"/>
  <c r="K282" i="1" l="1"/>
  <c r="K297" i="1" s="1"/>
  <c r="K302" i="1" s="1"/>
  <c r="K289" i="1" s="1"/>
  <c r="K293" i="1" s="1"/>
  <c r="I282" i="1"/>
  <c r="I297" i="1" s="1"/>
  <c r="I302" i="1" s="1"/>
  <c r="I289" i="1" s="1"/>
  <c r="I293" i="1" s="1"/>
  <c r="J282" i="1"/>
  <c r="J297" i="1" s="1"/>
  <c r="J302" i="1" s="1"/>
  <c r="J289" i="1" s="1"/>
  <c r="J293" i="1" s="1"/>
  <c r="AI347" i="71" l="1"/>
  <c r="AG347" i="71"/>
  <c r="AE347" i="71"/>
  <c r="AC347" i="71"/>
  <c r="AA347" i="71"/>
  <c r="Y347" i="71"/>
  <c r="W347" i="71"/>
  <c r="U347" i="71"/>
  <c r="S347" i="71"/>
  <c r="Q347" i="71"/>
  <c r="O347" i="71"/>
  <c r="O348" i="71" s="1"/>
  <c r="M12" i="71" s="1"/>
  <c r="M347" i="71"/>
  <c r="K347" i="71"/>
  <c r="I347" i="71"/>
  <c r="G347" i="71"/>
  <c r="E347" i="71"/>
  <c r="AI338" i="71"/>
  <c r="AG338" i="71"/>
  <c r="AE338" i="71"/>
  <c r="AC338" i="71"/>
  <c r="AA338" i="71"/>
  <c r="Y338" i="71"/>
  <c r="W338" i="71"/>
  <c r="U338" i="71"/>
  <c r="S338" i="71"/>
  <c r="Q338" i="71"/>
  <c r="O338" i="71"/>
  <c r="M338" i="71"/>
  <c r="K338" i="71"/>
  <c r="I338" i="71"/>
  <c r="G338" i="71"/>
  <c r="E338" i="71"/>
  <c r="AJ327" i="71"/>
  <c r="AI327" i="71"/>
  <c r="AH327" i="71"/>
  <c r="AF327" i="71"/>
  <c r="AD327" i="71"/>
  <c r="AC327" i="71"/>
  <c r="AB327" i="71"/>
  <c r="AA327" i="71"/>
  <c r="Z327" i="71"/>
  <c r="Y327" i="71"/>
  <c r="X327" i="71"/>
  <c r="W327" i="71"/>
  <c r="V327" i="71"/>
  <c r="T327" i="71"/>
  <c r="S327" i="71"/>
  <c r="R327" i="71"/>
  <c r="Q327" i="71"/>
  <c r="P327" i="71"/>
  <c r="O327" i="71"/>
  <c r="N327" i="71"/>
  <c r="M327" i="71"/>
  <c r="L327" i="71"/>
  <c r="J327" i="71"/>
  <c r="I327" i="71"/>
  <c r="H327" i="71"/>
  <c r="G327" i="71"/>
  <c r="G348" i="71" s="1"/>
  <c r="M6" i="71" s="1"/>
  <c r="F327" i="71"/>
  <c r="AL324" i="71"/>
  <c r="AG324" i="71"/>
  <c r="AE324" i="71"/>
  <c r="U324" i="71"/>
  <c r="K324" i="71"/>
  <c r="E324" i="71"/>
  <c r="AL323" i="71"/>
  <c r="AG323" i="71"/>
  <c r="AE323" i="71"/>
  <c r="U323" i="71"/>
  <c r="K323" i="71"/>
  <c r="E323" i="71"/>
  <c r="AL322" i="71"/>
  <c r="AG322" i="71"/>
  <c r="AE322" i="71"/>
  <c r="U322" i="71"/>
  <c r="K322" i="71"/>
  <c r="E322" i="71"/>
  <c r="AL321" i="71"/>
  <c r="AG321" i="71"/>
  <c r="AE321" i="71"/>
  <c r="U321" i="71"/>
  <c r="K321" i="71"/>
  <c r="E321" i="71"/>
  <c r="AL320" i="71"/>
  <c r="AG320" i="71"/>
  <c r="AE320" i="71"/>
  <c r="U320" i="71"/>
  <c r="K320" i="71"/>
  <c r="E320" i="71"/>
  <c r="AL319" i="71"/>
  <c r="AG319" i="71"/>
  <c r="AE319" i="71"/>
  <c r="U319" i="71"/>
  <c r="K319" i="71"/>
  <c r="E319" i="71"/>
  <c r="AL318" i="71"/>
  <c r="AG318" i="71"/>
  <c r="AE318" i="71"/>
  <c r="U318" i="71"/>
  <c r="K318" i="71"/>
  <c r="E318" i="71"/>
  <c r="AL317" i="71"/>
  <c r="AG317" i="71"/>
  <c r="AE317" i="71"/>
  <c r="U317" i="71"/>
  <c r="K317" i="71"/>
  <c r="E317" i="71"/>
  <c r="AL316" i="71"/>
  <c r="AG316" i="71"/>
  <c r="AE316" i="71"/>
  <c r="U316" i="71"/>
  <c r="K316" i="71"/>
  <c r="E316" i="71"/>
  <c r="AL315" i="71"/>
  <c r="AG315" i="71"/>
  <c r="AE315" i="71"/>
  <c r="U315" i="71"/>
  <c r="K315" i="71"/>
  <c r="E315" i="71"/>
  <c r="AL314" i="71"/>
  <c r="AG314" i="71"/>
  <c r="AE314" i="71"/>
  <c r="U314" i="71"/>
  <c r="K314" i="71"/>
  <c r="E314" i="71"/>
  <c r="AL313" i="71"/>
  <c r="AG313" i="71"/>
  <c r="AE313" i="71"/>
  <c r="U313" i="71"/>
  <c r="K313" i="71"/>
  <c r="E313" i="71"/>
  <c r="AL312" i="71"/>
  <c r="AG312" i="71"/>
  <c r="AE312" i="71"/>
  <c r="U312" i="71"/>
  <c r="K312" i="71"/>
  <c r="E312" i="71"/>
  <c r="AL311" i="71"/>
  <c r="AG311" i="71"/>
  <c r="AE311" i="71"/>
  <c r="U311" i="71"/>
  <c r="K311" i="71"/>
  <c r="E311" i="71"/>
  <c r="AL310" i="71"/>
  <c r="AG310" i="71"/>
  <c r="AE310" i="71"/>
  <c r="U310" i="71"/>
  <c r="K310" i="71"/>
  <c r="E310" i="71"/>
  <c r="AL309" i="71"/>
  <c r="AG309" i="71"/>
  <c r="AE309" i="71"/>
  <c r="U309" i="71"/>
  <c r="K309" i="71"/>
  <c r="E309" i="71"/>
  <c r="AL308" i="71"/>
  <c r="AG308" i="71"/>
  <c r="AE308" i="71"/>
  <c r="U308" i="71"/>
  <c r="K308" i="71"/>
  <c r="E308" i="71"/>
  <c r="AL307" i="71"/>
  <c r="AG307" i="71"/>
  <c r="AE307" i="71"/>
  <c r="U307" i="71"/>
  <c r="K307" i="71"/>
  <c r="E307" i="71"/>
  <c r="AL306" i="71"/>
  <c r="AG306" i="71"/>
  <c r="AE306" i="71"/>
  <c r="U306" i="71"/>
  <c r="K306" i="71"/>
  <c r="E306" i="71"/>
  <c r="AL305" i="71"/>
  <c r="AG305" i="71"/>
  <c r="AE305" i="71"/>
  <c r="U305" i="71"/>
  <c r="K305" i="71"/>
  <c r="E305" i="71"/>
  <c r="AL304" i="71"/>
  <c r="AG304" i="71"/>
  <c r="AE304" i="71"/>
  <c r="U304" i="71"/>
  <c r="K304" i="71"/>
  <c r="E304" i="71"/>
  <c r="AL303" i="71"/>
  <c r="AG303" i="71"/>
  <c r="AE303" i="71"/>
  <c r="U303" i="71"/>
  <c r="K303" i="71"/>
  <c r="E303" i="71"/>
  <c r="AL302" i="71"/>
  <c r="AG302" i="71"/>
  <c r="AE302" i="71"/>
  <c r="U302" i="71"/>
  <c r="K302" i="71"/>
  <c r="E302" i="71"/>
  <c r="AL301" i="71"/>
  <c r="AG301" i="71"/>
  <c r="AE301" i="71"/>
  <c r="U301" i="71"/>
  <c r="K301" i="71"/>
  <c r="E301" i="71"/>
  <c r="AL300" i="71"/>
  <c r="AG300" i="71"/>
  <c r="AE300" i="71"/>
  <c r="U300" i="71"/>
  <c r="K300" i="71"/>
  <c r="E300" i="71"/>
  <c r="AL299" i="71"/>
  <c r="AG299" i="71"/>
  <c r="AE299" i="71"/>
  <c r="U299" i="71"/>
  <c r="K299" i="71"/>
  <c r="E299" i="71"/>
  <c r="AL298" i="71"/>
  <c r="AG298" i="71"/>
  <c r="AE298" i="71"/>
  <c r="U298" i="71"/>
  <c r="K298" i="71"/>
  <c r="E298" i="71"/>
  <c r="AL297" i="71"/>
  <c r="AG297" i="71"/>
  <c r="AE297" i="71"/>
  <c r="U297" i="71"/>
  <c r="K297" i="71"/>
  <c r="E297" i="71"/>
  <c r="AL296" i="71"/>
  <c r="AG296" i="71"/>
  <c r="AE296" i="71"/>
  <c r="U296" i="71"/>
  <c r="K296" i="71"/>
  <c r="E296" i="71"/>
  <c r="AL295" i="71"/>
  <c r="AG295" i="71"/>
  <c r="AE295" i="71"/>
  <c r="U295" i="71"/>
  <c r="K295" i="71"/>
  <c r="E295" i="71"/>
  <c r="AL294" i="71"/>
  <c r="AG294" i="71"/>
  <c r="AE294" i="71"/>
  <c r="U294" i="71"/>
  <c r="K294" i="71"/>
  <c r="E294" i="71"/>
  <c r="AL293" i="71"/>
  <c r="AG293" i="71"/>
  <c r="AE293" i="71"/>
  <c r="U293" i="71"/>
  <c r="K293" i="71"/>
  <c r="E293" i="71"/>
  <c r="AL292" i="71"/>
  <c r="AG292" i="71"/>
  <c r="AE292" i="71"/>
  <c r="U292" i="71"/>
  <c r="K292" i="71"/>
  <c r="E292" i="71"/>
  <c r="AL291" i="71"/>
  <c r="AG291" i="71"/>
  <c r="AE291" i="71"/>
  <c r="U291" i="71"/>
  <c r="K291" i="71"/>
  <c r="E291" i="71"/>
  <c r="AL290" i="71"/>
  <c r="AG290" i="71"/>
  <c r="AE290" i="71"/>
  <c r="U290" i="71"/>
  <c r="K290" i="71"/>
  <c r="E290" i="71"/>
  <c r="AL289" i="71"/>
  <c r="AG289" i="71"/>
  <c r="AE289" i="71"/>
  <c r="U289" i="71"/>
  <c r="K289" i="71"/>
  <c r="E289" i="71"/>
  <c r="AL288" i="71"/>
  <c r="AG288" i="71"/>
  <c r="AE288" i="71"/>
  <c r="U288" i="71"/>
  <c r="K288" i="71"/>
  <c r="E288" i="71"/>
  <c r="AL287" i="71"/>
  <c r="AG287" i="71"/>
  <c r="AE287" i="71"/>
  <c r="U287" i="71"/>
  <c r="K287" i="71"/>
  <c r="E287" i="71"/>
  <c r="AL286" i="71"/>
  <c r="AG286" i="71"/>
  <c r="AE286" i="71"/>
  <c r="U286" i="71"/>
  <c r="K286" i="71"/>
  <c r="E286" i="71"/>
  <c r="AL285" i="71"/>
  <c r="AG285" i="71"/>
  <c r="AE285" i="71"/>
  <c r="U285" i="71"/>
  <c r="K285" i="71"/>
  <c r="E285" i="71"/>
  <c r="AL284" i="71"/>
  <c r="AG284" i="71"/>
  <c r="AE284" i="71"/>
  <c r="U284" i="71"/>
  <c r="K284" i="71"/>
  <c r="E284" i="71"/>
  <c r="AL283" i="71"/>
  <c r="AG283" i="71"/>
  <c r="AE283" i="71"/>
  <c r="U283" i="71"/>
  <c r="K283" i="71"/>
  <c r="E283" i="71"/>
  <c r="AL282" i="71"/>
  <c r="AG282" i="71"/>
  <c r="AE282" i="71"/>
  <c r="U282" i="71"/>
  <c r="K282" i="71"/>
  <c r="E282" i="71"/>
  <c r="AL281" i="71"/>
  <c r="AG281" i="71"/>
  <c r="AE281" i="71"/>
  <c r="U281" i="71"/>
  <c r="K281" i="71"/>
  <c r="E281" i="71"/>
  <c r="AL280" i="71"/>
  <c r="AG280" i="71"/>
  <c r="AE280" i="71"/>
  <c r="U280" i="71"/>
  <c r="K280" i="71"/>
  <c r="E280" i="71"/>
  <c r="AL279" i="71"/>
  <c r="AG279" i="71"/>
  <c r="AE279" i="71"/>
  <c r="U279" i="71"/>
  <c r="K279" i="71"/>
  <c r="E279" i="71"/>
  <c r="AL278" i="71"/>
  <c r="AG278" i="71"/>
  <c r="AE278" i="71"/>
  <c r="U278" i="71"/>
  <c r="K278" i="71"/>
  <c r="E278" i="71"/>
  <c r="AL277" i="71"/>
  <c r="AG277" i="71"/>
  <c r="AE277" i="71"/>
  <c r="U277" i="71"/>
  <c r="K277" i="71"/>
  <c r="E277" i="71"/>
  <c r="AL276" i="71"/>
  <c r="AG276" i="71"/>
  <c r="AE276" i="71"/>
  <c r="U276" i="71"/>
  <c r="K276" i="71"/>
  <c r="E276" i="71"/>
  <c r="AL275" i="71"/>
  <c r="AG275" i="71"/>
  <c r="AE275" i="71"/>
  <c r="AE327" i="71" s="1"/>
  <c r="U275" i="71"/>
  <c r="K275" i="71"/>
  <c r="E275" i="71"/>
  <c r="AE274" i="71"/>
  <c r="AI268" i="71"/>
  <c r="AG268" i="71"/>
  <c r="AE268" i="71"/>
  <c r="AC268" i="71"/>
  <c r="AA268" i="71"/>
  <c r="Y268" i="71"/>
  <c r="W268" i="71"/>
  <c r="U268" i="71"/>
  <c r="S268" i="71"/>
  <c r="Q268" i="71"/>
  <c r="O268" i="71"/>
  <c r="M268" i="71"/>
  <c r="K268" i="71"/>
  <c r="I268" i="71"/>
  <c r="G268" i="71"/>
  <c r="E268" i="71"/>
  <c r="AI259" i="71"/>
  <c r="AG259" i="71"/>
  <c r="AE259" i="71"/>
  <c r="AC259" i="71"/>
  <c r="Y259" i="71"/>
  <c r="W259" i="71"/>
  <c r="U259" i="71"/>
  <c r="S259" i="71"/>
  <c r="Q259" i="71"/>
  <c r="O259" i="71"/>
  <c r="M259" i="71"/>
  <c r="K259" i="71"/>
  <c r="I259" i="71"/>
  <c r="G259" i="71"/>
  <c r="E259" i="71"/>
  <c r="AJ248" i="71"/>
  <c r="AI248" i="71"/>
  <c r="AH248" i="71"/>
  <c r="AF248" i="71"/>
  <c r="AD248" i="71"/>
  <c r="AC248" i="71"/>
  <c r="AB248" i="71"/>
  <c r="AA248" i="71"/>
  <c r="Z248" i="71"/>
  <c r="Y248" i="71"/>
  <c r="X248" i="71"/>
  <c r="W248" i="71"/>
  <c r="V248" i="71"/>
  <c r="T248" i="71"/>
  <c r="S248" i="71"/>
  <c r="R248" i="71"/>
  <c r="Q248" i="71"/>
  <c r="P248" i="71"/>
  <c r="O248" i="71"/>
  <c r="N248" i="71"/>
  <c r="M248" i="71"/>
  <c r="L248" i="71"/>
  <c r="J248" i="71"/>
  <c r="I248" i="71"/>
  <c r="H248" i="71"/>
  <c r="G248" i="71"/>
  <c r="F248" i="71"/>
  <c r="AL245" i="71"/>
  <c r="AG245" i="71"/>
  <c r="AE245" i="71"/>
  <c r="U245" i="71"/>
  <c r="K245" i="71"/>
  <c r="E245" i="71"/>
  <c r="AL244" i="71"/>
  <c r="AG244" i="71"/>
  <c r="AE244" i="71"/>
  <c r="U244" i="71"/>
  <c r="K244" i="71"/>
  <c r="E244" i="71"/>
  <c r="AL243" i="71"/>
  <c r="AG243" i="71"/>
  <c r="AE243" i="71"/>
  <c r="U243" i="71"/>
  <c r="K243" i="71"/>
  <c r="E243" i="71"/>
  <c r="AL242" i="71"/>
  <c r="AG242" i="71"/>
  <c r="AE242" i="71"/>
  <c r="U242" i="71"/>
  <c r="K242" i="71"/>
  <c r="E242" i="71"/>
  <c r="AL241" i="71"/>
  <c r="AG241" i="71"/>
  <c r="AE241" i="71"/>
  <c r="U241" i="71"/>
  <c r="K241" i="71"/>
  <c r="E241" i="71"/>
  <c r="AL240" i="71"/>
  <c r="AG240" i="71"/>
  <c r="AE240" i="71"/>
  <c r="U240" i="71"/>
  <c r="K240" i="71"/>
  <c r="E240" i="71"/>
  <c r="AL239" i="71"/>
  <c r="AG239" i="71"/>
  <c r="AE239" i="71"/>
  <c r="U239" i="71"/>
  <c r="K239" i="71"/>
  <c r="E239" i="71"/>
  <c r="AL238" i="71"/>
  <c r="AG238" i="71"/>
  <c r="AE238" i="71"/>
  <c r="U238" i="71"/>
  <c r="K238" i="71"/>
  <c r="E238" i="71"/>
  <c r="AL237" i="71"/>
  <c r="AG237" i="71"/>
  <c r="AE237" i="71"/>
  <c r="U237" i="71"/>
  <c r="K237" i="71"/>
  <c r="E237" i="71"/>
  <c r="AL236" i="71"/>
  <c r="AG236" i="71"/>
  <c r="AE236" i="71"/>
  <c r="U236" i="71"/>
  <c r="K236" i="71"/>
  <c r="E236" i="71"/>
  <c r="AL235" i="71"/>
  <c r="AG235" i="71"/>
  <c r="AE235" i="71"/>
  <c r="U235" i="71"/>
  <c r="K235" i="71"/>
  <c r="E235" i="71"/>
  <c r="AL234" i="71"/>
  <c r="AG234" i="71"/>
  <c r="AE234" i="71"/>
  <c r="U234" i="71"/>
  <c r="K234" i="71"/>
  <c r="E234" i="71"/>
  <c r="AL233" i="71"/>
  <c r="AG233" i="71"/>
  <c r="AE233" i="71"/>
  <c r="U233" i="71"/>
  <c r="K233" i="71"/>
  <c r="E233" i="71"/>
  <c r="AL232" i="71"/>
  <c r="AG232" i="71"/>
  <c r="AE232" i="71"/>
  <c r="U232" i="71"/>
  <c r="K232" i="71"/>
  <c r="E232" i="71"/>
  <c r="AL231" i="71"/>
  <c r="AG231" i="71"/>
  <c r="AE231" i="71"/>
  <c r="U231" i="71"/>
  <c r="K231" i="71"/>
  <c r="E231" i="71"/>
  <c r="AL230" i="71"/>
  <c r="AG230" i="71"/>
  <c r="AE230" i="71"/>
  <c r="U230" i="71"/>
  <c r="K230" i="71"/>
  <c r="E230" i="71"/>
  <c r="AL229" i="71"/>
  <c r="AG229" i="71"/>
  <c r="AE229" i="71"/>
  <c r="U229" i="71"/>
  <c r="K229" i="71"/>
  <c r="E229" i="71"/>
  <c r="AL228" i="71"/>
  <c r="AG228" i="71"/>
  <c r="AE228" i="71"/>
  <c r="U228" i="71"/>
  <c r="K228" i="71"/>
  <c r="E228" i="71"/>
  <c r="AL227" i="71"/>
  <c r="AG227" i="71"/>
  <c r="AE227" i="71"/>
  <c r="U227" i="71"/>
  <c r="K227" i="71"/>
  <c r="E227" i="71"/>
  <c r="AL226" i="71"/>
  <c r="AG226" i="71"/>
  <c r="AE226" i="71"/>
  <c r="U226" i="71"/>
  <c r="K226" i="71"/>
  <c r="E226" i="71"/>
  <c r="AL225" i="71"/>
  <c r="AG225" i="71"/>
  <c r="AE225" i="71"/>
  <c r="U225" i="71"/>
  <c r="K225" i="71"/>
  <c r="E225" i="71"/>
  <c r="AL224" i="71"/>
  <c r="AG224" i="71"/>
  <c r="AE224" i="71"/>
  <c r="U224" i="71"/>
  <c r="K224" i="71"/>
  <c r="E224" i="71"/>
  <c r="AL223" i="71"/>
  <c r="AG223" i="71"/>
  <c r="AE223" i="71"/>
  <c r="U223" i="71"/>
  <c r="K223" i="71"/>
  <c r="E223" i="71"/>
  <c r="AL222" i="71"/>
  <c r="AG222" i="71"/>
  <c r="AE222" i="71"/>
  <c r="U222" i="71"/>
  <c r="K222" i="71"/>
  <c r="E222" i="71"/>
  <c r="AL221" i="71"/>
  <c r="AG221" i="71"/>
  <c r="AE221" i="71"/>
  <c r="U221" i="71"/>
  <c r="K221" i="71"/>
  <c r="E221" i="71"/>
  <c r="AL220" i="71"/>
  <c r="AG220" i="71"/>
  <c r="AE220" i="71"/>
  <c r="U220" i="71"/>
  <c r="K220" i="71"/>
  <c r="E220" i="71"/>
  <c r="AL219" i="71"/>
  <c r="AG219" i="71"/>
  <c r="AE219" i="71"/>
  <c r="U219" i="71"/>
  <c r="K219" i="71"/>
  <c r="E219" i="71"/>
  <c r="AL218" i="71"/>
  <c r="AG218" i="71"/>
  <c r="AE218" i="71"/>
  <c r="U218" i="71"/>
  <c r="K218" i="71"/>
  <c r="E218" i="71"/>
  <c r="AL217" i="71"/>
  <c r="AG217" i="71"/>
  <c r="AE217" i="71"/>
  <c r="U217" i="71"/>
  <c r="K217" i="71"/>
  <c r="E217" i="71"/>
  <c r="AL216" i="71"/>
  <c r="AG216" i="71"/>
  <c r="AE216" i="71"/>
  <c r="U216" i="71"/>
  <c r="K216" i="71"/>
  <c r="E216" i="71"/>
  <c r="AL215" i="71"/>
  <c r="AG215" i="71"/>
  <c r="AE215" i="71"/>
  <c r="U215" i="71"/>
  <c r="K215" i="71"/>
  <c r="E215" i="71"/>
  <c r="AL214" i="71"/>
  <c r="AG214" i="71"/>
  <c r="AE214" i="71"/>
  <c r="U214" i="71"/>
  <c r="K214" i="71"/>
  <c r="E214" i="71"/>
  <c r="AL213" i="71"/>
  <c r="AG213" i="71"/>
  <c r="AE213" i="71"/>
  <c r="U213" i="71"/>
  <c r="K213" i="71"/>
  <c r="E213" i="71"/>
  <c r="AL212" i="71"/>
  <c r="AG212" i="71"/>
  <c r="AE212" i="71"/>
  <c r="U212" i="71"/>
  <c r="K212" i="71"/>
  <c r="E212" i="71"/>
  <c r="AL211" i="71"/>
  <c r="AG211" i="71"/>
  <c r="AE211" i="71"/>
  <c r="U211" i="71"/>
  <c r="K211" i="71"/>
  <c r="E211" i="71"/>
  <c r="AL210" i="71"/>
  <c r="AG210" i="71"/>
  <c r="AE210" i="71"/>
  <c r="U210" i="71"/>
  <c r="K210" i="71"/>
  <c r="E210" i="71"/>
  <c r="AL209" i="71"/>
  <c r="AG209" i="71"/>
  <c r="AE209" i="71"/>
  <c r="U209" i="71"/>
  <c r="K209" i="71"/>
  <c r="E209" i="71"/>
  <c r="AL208" i="71"/>
  <c r="AG208" i="71"/>
  <c r="AE208" i="71"/>
  <c r="U208" i="71"/>
  <c r="K208" i="71"/>
  <c r="E208" i="71"/>
  <c r="AL207" i="71"/>
  <c r="AG207" i="71"/>
  <c r="AE207" i="71"/>
  <c r="U207" i="71"/>
  <c r="K207" i="71"/>
  <c r="E207" i="71"/>
  <c r="AL206" i="71"/>
  <c r="AG206" i="71"/>
  <c r="AE206" i="71"/>
  <c r="U206" i="71"/>
  <c r="K206" i="71"/>
  <c r="E206" i="71"/>
  <c r="AL205" i="71"/>
  <c r="AG205" i="71"/>
  <c r="AE205" i="71"/>
  <c r="U205" i="71"/>
  <c r="K205" i="71"/>
  <c r="E205" i="71"/>
  <c r="AL204" i="71"/>
  <c r="AG204" i="71"/>
  <c r="AE204" i="71"/>
  <c r="U204" i="71"/>
  <c r="K204" i="71"/>
  <c r="E204" i="71"/>
  <c r="AL203" i="71"/>
  <c r="AG203" i="71"/>
  <c r="AE203" i="71"/>
  <c r="U203" i="71"/>
  <c r="K203" i="71"/>
  <c r="E203" i="71"/>
  <c r="AL202" i="71"/>
  <c r="AG202" i="71"/>
  <c r="AE202" i="71"/>
  <c r="U202" i="71"/>
  <c r="K202" i="71"/>
  <c r="E202" i="71"/>
  <c r="AL201" i="71"/>
  <c r="AG201" i="71"/>
  <c r="AE201" i="71"/>
  <c r="U201" i="71"/>
  <c r="K201" i="71"/>
  <c r="E201" i="71"/>
  <c r="AL200" i="71"/>
  <c r="AG200" i="71"/>
  <c r="AE200" i="71"/>
  <c r="U200" i="71"/>
  <c r="K200" i="71"/>
  <c r="E200" i="71"/>
  <c r="AL199" i="71"/>
  <c r="AG199" i="71"/>
  <c r="AE199" i="71"/>
  <c r="U199" i="71"/>
  <c r="K199" i="71"/>
  <c r="E199" i="71"/>
  <c r="AL198" i="71"/>
  <c r="AG198" i="71"/>
  <c r="AE198" i="71"/>
  <c r="U198" i="71"/>
  <c r="K198" i="71"/>
  <c r="E198" i="71"/>
  <c r="AL197" i="71"/>
  <c r="AG197" i="71"/>
  <c r="AE197" i="71"/>
  <c r="U197" i="71"/>
  <c r="K197" i="71"/>
  <c r="E197" i="71"/>
  <c r="AL196" i="71"/>
  <c r="AG196" i="71"/>
  <c r="AE196" i="71"/>
  <c r="U196" i="71"/>
  <c r="K196" i="71"/>
  <c r="K248" i="71" s="1"/>
  <c r="E196" i="71"/>
  <c r="AE195" i="71"/>
  <c r="AI189" i="71"/>
  <c r="AG189" i="71"/>
  <c r="AE189" i="71"/>
  <c r="AC189" i="71"/>
  <c r="AA189" i="71"/>
  <c r="Y189" i="71"/>
  <c r="W189" i="71"/>
  <c r="U189" i="71"/>
  <c r="S189" i="71"/>
  <c r="Q189" i="71"/>
  <c r="O189" i="71"/>
  <c r="M189" i="71"/>
  <c r="K189" i="71"/>
  <c r="I189" i="71"/>
  <c r="G189" i="71"/>
  <c r="E189" i="71"/>
  <c r="AI180" i="71"/>
  <c r="AG180" i="71"/>
  <c r="AE180" i="71"/>
  <c r="AC180" i="71"/>
  <c r="AA180" i="71"/>
  <c r="Y180" i="71"/>
  <c r="W180" i="71"/>
  <c r="U180" i="71"/>
  <c r="S180" i="71"/>
  <c r="Q180" i="71"/>
  <c r="O180" i="71"/>
  <c r="M180" i="71"/>
  <c r="K180" i="71"/>
  <c r="I180" i="71"/>
  <c r="G180" i="71"/>
  <c r="E180" i="71"/>
  <c r="AJ169" i="71"/>
  <c r="AI169" i="71"/>
  <c r="AH169" i="71"/>
  <c r="AF169" i="71"/>
  <c r="AD169" i="71"/>
  <c r="AC169" i="71"/>
  <c r="AB169" i="71"/>
  <c r="AA169" i="71"/>
  <c r="Z169" i="71"/>
  <c r="Y169" i="71"/>
  <c r="X169" i="71"/>
  <c r="W169" i="71"/>
  <c r="V169" i="71"/>
  <c r="T169" i="71"/>
  <c r="S169" i="71"/>
  <c r="R169" i="71"/>
  <c r="Q169" i="71"/>
  <c r="P169" i="71"/>
  <c r="O169" i="71"/>
  <c r="N169" i="71"/>
  <c r="M169" i="71"/>
  <c r="L169" i="71"/>
  <c r="J169" i="71"/>
  <c r="I169" i="71"/>
  <c r="H169" i="71"/>
  <c r="G169" i="71"/>
  <c r="F169" i="71"/>
  <c r="AL166" i="71"/>
  <c r="AG166" i="71"/>
  <c r="AE166" i="71"/>
  <c r="U166" i="71"/>
  <c r="K166" i="71"/>
  <c r="E166" i="71"/>
  <c r="AL165" i="71"/>
  <c r="AG165" i="71"/>
  <c r="AE165" i="71"/>
  <c r="U165" i="71"/>
  <c r="K165" i="71"/>
  <c r="E165" i="71"/>
  <c r="AL164" i="71"/>
  <c r="AG164" i="71"/>
  <c r="AE164" i="71"/>
  <c r="U164" i="71"/>
  <c r="K164" i="71"/>
  <c r="E164" i="71"/>
  <c r="AL163" i="71"/>
  <c r="AG163" i="71"/>
  <c r="AE163" i="71"/>
  <c r="U163" i="71"/>
  <c r="K163" i="71"/>
  <c r="E163" i="71"/>
  <c r="AL162" i="71"/>
  <c r="AG162" i="71"/>
  <c r="AE162" i="71"/>
  <c r="U162" i="71"/>
  <c r="K162" i="71"/>
  <c r="E162" i="71"/>
  <c r="AL161" i="71"/>
  <c r="AG161" i="71"/>
  <c r="AE161" i="71"/>
  <c r="U161" i="71"/>
  <c r="K161" i="71"/>
  <c r="E161" i="71"/>
  <c r="AL160" i="71"/>
  <c r="AG160" i="71"/>
  <c r="AE160" i="71"/>
  <c r="U160" i="71"/>
  <c r="K160" i="71"/>
  <c r="E160" i="71"/>
  <c r="AL159" i="71"/>
  <c r="AG159" i="71"/>
  <c r="AE159" i="71"/>
  <c r="U159" i="71"/>
  <c r="K159" i="71"/>
  <c r="E159" i="71"/>
  <c r="AL158" i="71"/>
  <c r="AG158" i="71"/>
  <c r="AE158" i="71"/>
  <c r="U158" i="71"/>
  <c r="K158" i="71"/>
  <c r="E158" i="71"/>
  <c r="AL157" i="71"/>
  <c r="AG157" i="71"/>
  <c r="AE157" i="71"/>
  <c r="U157" i="71"/>
  <c r="K157" i="71"/>
  <c r="E157" i="71"/>
  <c r="AL156" i="71"/>
  <c r="AG156" i="71"/>
  <c r="AE156" i="71"/>
  <c r="U156" i="71"/>
  <c r="K156" i="71"/>
  <c r="E156" i="71"/>
  <c r="AL155" i="71"/>
  <c r="AG155" i="71"/>
  <c r="AE155" i="71"/>
  <c r="U155" i="71"/>
  <c r="K155" i="71"/>
  <c r="E155" i="71"/>
  <c r="AL154" i="71"/>
  <c r="AG154" i="71"/>
  <c r="AE154" i="71"/>
  <c r="U154" i="71"/>
  <c r="K154" i="71"/>
  <c r="E154" i="71"/>
  <c r="AL153" i="71"/>
  <c r="AG153" i="71"/>
  <c r="AE153" i="71"/>
  <c r="U153" i="71"/>
  <c r="K153" i="71"/>
  <c r="E153" i="71"/>
  <c r="AL152" i="71"/>
  <c r="AG152" i="71"/>
  <c r="AE152" i="71"/>
  <c r="U152" i="71"/>
  <c r="K152" i="71"/>
  <c r="E152" i="71"/>
  <c r="AL151" i="71"/>
  <c r="AG151" i="71"/>
  <c r="AE151" i="71"/>
  <c r="U151" i="71"/>
  <c r="K151" i="71"/>
  <c r="E151" i="71"/>
  <c r="AL150" i="71"/>
  <c r="AG150" i="71"/>
  <c r="AE150" i="71"/>
  <c r="U150" i="71"/>
  <c r="K150" i="71"/>
  <c r="E150" i="71"/>
  <c r="AL149" i="71"/>
  <c r="AG149" i="71"/>
  <c r="AE149" i="71"/>
  <c r="U149" i="71"/>
  <c r="K149" i="71"/>
  <c r="E149" i="71"/>
  <c r="AL148" i="71"/>
  <c r="AG148" i="71"/>
  <c r="AE148" i="71"/>
  <c r="U148" i="71"/>
  <c r="K148" i="71"/>
  <c r="E148" i="71"/>
  <c r="AL147" i="71"/>
  <c r="AG147" i="71"/>
  <c r="AE147" i="71"/>
  <c r="U147" i="71"/>
  <c r="K147" i="71"/>
  <c r="E147" i="71"/>
  <c r="AL146" i="71"/>
  <c r="AG146" i="71"/>
  <c r="AE146" i="71"/>
  <c r="U146" i="71"/>
  <c r="K146" i="71"/>
  <c r="E146" i="71"/>
  <c r="AL145" i="71"/>
  <c r="AG145" i="71"/>
  <c r="AE145" i="71"/>
  <c r="U145" i="71"/>
  <c r="K145" i="71"/>
  <c r="E145" i="71"/>
  <c r="AL144" i="71"/>
  <c r="AG144" i="71"/>
  <c r="AE144" i="71"/>
  <c r="U144" i="71"/>
  <c r="K144" i="71"/>
  <c r="E144" i="71"/>
  <c r="AL143" i="71"/>
  <c r="AG143" i="71"/>
  <c r="AE143" i="71"/>
  <c r="U143" i="71"/>
  <c r="K143" i="71"/>
  <c r="E143" i="71"/>
  <c r="AL142" i="71"/>
  <c r="AG142" i="71"/>
  <c r="AE142" i="71"/>
  <c r="U142" i="71"/>
  <c r="K142" i="71"/>
  <c r="E142" i="71"/>
  <c r="AL141" i="71"/>
  <c r="AG141" i="71"/>
  <c r="AE141" i="71"/>
  <c r="U141" i="71"/>
  <c r="K141" i="71"/>
  <c r="E141" i="71"/>
  <c r="AL140" i="71"/>
  <c r="AG140" i="71"/>
  <c r="AE140" i="71"/>
  <c r="U140" i="71"/>
  <c r="K140" i="71"/>
  <c r="E140" i="71"/>
  <c r="AL139" i="71"/>
  <c r="AG139" i="71"/>
  <c r="AE139" i="71"/>
  <c r="U139" i="71"/>
  <c r="K139" i="71"/>
  <c r="E139" i="71"/>
  <c r="AL138" i="71"/>
  <c r="AG138" i="71"/>
  <c r="AE138" i="71"/>
  <c r="U138" i="71"/>
  <c r="K138" i="71"/>
  <c r="E138" i="71"/>
  <c r="AL137" i="71"/>
  <c r="AG137" i="71"/>
  <c r="AE137" i="71"/>
  <c r="U137" i="71"/>
  <c r="K137" i="71"/>
  <c r="E137" i="71"/>
  <c r="AL136" i="71"/>
  <c r="AG136" i="71"/>
  <c r="AE136" i="71"/>
  <c r="U136" i="71"/>
  <c r="K136" i="71"/>
  <c r="E136" i="71"/>
  <c r="AL135" i="71"/>
  <c r="AG135" i="71"/>
  <c r="AE135" i="71"/>
  <c r="U135" i="71"/>
  <c r="K135" i="71"/>
  <c r="E135" i="71"/>
  <c r="AL134" i="71"/>
  <c r="AG134" i="71"/>
  <c r="AE134" i="71"/>
  <c r="U134" i="71"/>
  <c r="K134" i="71"/>
  <c r="E134" i="71"/>
  <c r="AL133" i="71"/>
  <c r="AG133" i="71"/>
  <c r="AE133" i="71"/>
  <c r="U133" i="71"/>
  <c r="K133" i="71"/>
  <c r="E133" i="71"/>
  <c r="AL132" i="71"/>
  <c r="AG132" i="71"/>
  <c r="AE132" i="71"/>
  <c r="U132" i="71"/>
  <c r="K132" i="71"/>
  <c r="E132" i="71"/>
  <c r="AL131" i="71"/>
  <c r="AG131" i="71"/>
  <c r="AE131" i="71"/>
  <c r="U131" i="71"/>
  <c r="K131" i="71"/>
  <c r="E131" i="71"/>
  <c r="AL130" i="71"/>
  <c r="AG130" i="71"/>
  <c r="AE130" i="71"/>
  <c r="U130" i="71"/>
  <c r="K130" i="71"/>
  <c r="E130" i="71"/>
  <c r="AL129" i="71"/>
  <c r="AG129" i="71"/>
  <c r="AE129" i="71"/>
  <c r="U129" i="71"/>
  <c r="K129" i="71"/>
  <c r="E129" i="71"/>
  <c r="AL128" i="71"/>
  <c r="AG128" i="71"/>
  <c r="AE128" i="71"/>
  <c r="U128" i="71"/>
  <c r="K128" i="71"/>
  <c r="E128" i="71"/>
  <c r="AL127" i="71"/>
  <c r="AG127" i="71"/>
  <c r="AE127" i="71"/>
  <c r="U127" i="71"/>
  <c r="K127" i="71"/>
  <c r="E127" i="71"/>
  <c r="AL126" i="71"/>
  <c r="AG126" i="71"/>
  <c r="AE126" i="71"/>
  <c r="U126" i="71"/>
  <c r="K126" i="71"/>
  <c r="E126" i="71"/>
  <c r="AL125" i="71"/>
  <c r="AG125" i="71"/>
  <c r="AE125" i="71"/>
  <c r="U125" i="71"/>
  <c r="K125" i="71"/>
  <c r="E125" i="71"/>
  <c r="AL124" i="71"/>
  <c r="AG124" i="71"/>
  <c r="AE124" i="71"/>
  <c r="U124" i="71"/>
  <c r="K124" i="71"/>
  <c r="E124" i="71"/>
  <c r="AL123" i="71"/>
  <c r="AG123" i="71"/>
  <c r="AE123" i="71"/>
  <c r="U123" i="71"/>
  <c r="K123" i="71"/>
  <c r="E123" i="71"/>
  <c r="AL122" i="71"/>
  <c r="AG122" i="71"/>
  <c r="AE122" i="71"/>
  <c r="U122" i="71"/>
  <c r="K122" i="71"/>
  <c r="E122" i="71"/>
  <c r="AL121" i="71"/>
  <c r="AG121" i="71"/>
  <c r="AE121" i="71"/>
  <c r="U121" i="71"/>
  <c r="K121" i="71"/>
  <c r="E121" i="71"/>
  <c r="AL120" i="71"/>
  <c r="AG120" i="71"/>
  <c r="AE120" i="71"/>
  <c r="U120" i="71"/>
  <c r="K120" i="71"/>
  <c r="E120" i="71"/>
  <c r="AL119" i="71"/>
  <c r="AG119" i="71"/>
  <c r="AE119" i="71"/>
  <c r="U119" i="71"/>
  <c r="K119" i="71"/>
  <c r="E119" i="71"/>
  <c r="AL118" i="71"/>
  <c r="AG118" i="71"/>
  <c r="AE118" i="71"/>
  <c r="U118" i="71"/>
  <c r="K118" i="71"/>
  <c r="E118" i="71"/>
  <c r="AL117" i="71"/>
  <c r="AG117" i="71"/>
  <c r="AE117" i="71"/>
  <c r="U117" i="71"/>
  <c r="K117" i="71"/>
  <c r="E117" i="71"/>
  <c r="AE116" i="71"/>
  <c r="AJ90" i="71"/>
  <c r="AI90" i="71"/>
  <c r="AH90" i="71"/>
  <c r="AF90" i="71"/>
  <c r="AD90" i="71"/>
  <c r="AC90" i="71"/>
  <c r="AB90" i="71"/>
  <c r="AA90" i="71"/>
  <c r="Z90" i="71"/>
  <c r="Y90" i="71"/>
  <c r="X90" i="71"/>
  <c r="V90" i="71"/>
  <c r="T90" i="71"/>
  <c r="S90" i="71"/>
  <c r="R90" i="71"/>
  <c r="Q90" i="71"/>
  <c r="P90" i="71"/>
  <c r="O90" i="71"/>
  <c r="N90" i="71"/>
  <c r="L90" i="71"/>
  <c r="J90" i="71"/>
  <c r="I90" i="71"/>
  <c r="H90" i="71"/>
  <c r="G90" i="71"/>
  <c r="F90" i="71"/>
  <c r="AL87" i="71"/>
  <c r="AL86" i="71"/>
  <c r="AL85" i="71"/>
  <c r="AL84" i="71"/>
  <c r="AL83" i="71"/>
  <c r="AL82" i="71"/>
  <c r="AL81" i="71"/>
  <c r="AL80" i="71"/>
  <c r="AL79" i="71"/>
  <c r="AL78" i="71"/>
  <c r="AL77" i="71"/>
  <c r="AL76" i="71"/>
  <c r="AL75" i="71"/>
  <c r="AL74" i="71"/>
  <c r="AL73" i="71"/>
  <c r="AL72" i="71"/>
  <c r="AL71" i="71"/>
  <c r="AL70" i="71"/>
  <c r="AL69" i="71"/>
  <c r="AL68" i="71"/>
  <c r="AL67" i="71"/>
  <c r="AL66" i="71"/>
  <c r="AL65" i="71"/>
  <c r="AL64" i="71"/>
  <c r="AL63" i="71"/>
  <c r="AL62" i="71"/>
  <c r="AL61" i="71"/>
  <c r="AL60" i="71"/>
  <c r="AL59" i="71"/>
  <c r="AL58" i="71"/>
  <c r="AL57" i="71"/>
  <c r="AL56" i="71"/>
  <c r="AL55" i="71"/>
  <c r="AL54" i="71"/>
  <c r="AL53" i="71"/>
  <c r="AL52" i="71"/>
  <c r="AL51" i="71"/>
  <c r="AL50" i="71"/>
  <c r="AL49" i="71"/>
  <c r="AL48" i="71"/>
  <c r="AL47" i="71"/>
  <c r="AL46" i="71"/>
  <c r="AL45" i="71"/>
  <c r="AL44" i="71"/>
  <c r="AL43" i="71"/>
  <c r="AL42" i="71"/>
  <c r="AL41" i="71"/>
  <c r="AL40" i="71"/>
  <c r="AL39" i="71"/>
  <c r="AL38" i="71"/>
  <c r="AE90" i="71"/>
  <c r="O23" i="71"/>
  <c r="L23" i="71"/>
  <c r="I23" i="71"/>
  <c r="G23" i="71"/>
  <c r="N17" i="71"/>
  <c r="N16" i="71"/>
  <c r="N15" i="71"/>
  <c r="N10" i="71"/>
  <c r="M10" i="71"/>
  <c r="J10" i="71"/>
  <c r="O8" i="71"/>
  <c r="N8" i="71"/>
  <c r="L8" i="71"/>
  <c r="I8" i="71"/>
  <c r="G8" i="71"/>
  <c r="K7" i="71"/>
  <c r="K6" i="71"/>
  <c r="AC348" i="71" l="1"/>
  <c r="M19" i="71" s="1"/>
  <c r="Q111" i="71"/>
  <c r="F13" i="71" s="1"/>
  <c r="Q190" i="71"/>
  <c r="H13" i="71" s="1"/>
  <c r="AK74" i="71"/>
  <c r="AK76" i="71"/>
  <c r="AK86" i="71"/>
  <c r="S111" i="71"/>
  <c r="F14" i="71" s="1"/>
  <c r="AK117" i="71"/>
  <c r="AK129" i="71"/>
  <c r="AK131" i="71"/>
  <c r="AK153" i="71"/>
  <c r="AK155" i="71"/>
  <c r="AK159" i="71"/>
  <c r="K169" i="71"/>
  <c r="K8" i="71"/>
  <c r="N23" i="71"/>
  <c r="AG248" i="71"/>
  <c r="M348" i="71"/>
  <c r="M11" i="71" s="1"/>
  <c r="AK118" i="71"/>
  <c r="AK130" i="71"/>
  <c r="AK162" i="71"/>
  <c r="E25" i="71"/>
  <c r="AE248" i="71"/>
  <c r="AL327" i="71"/>
  <c r="AK121" i="71"/>
  <c r="AK127" i="71"/>
  <c r="AK133" i="71"/>
  <c r="AK151" i="71"/>
  <c r="AK165" i="71"/>
  <c r="S190" i="71"/>
  <c r="H14" i="71" s="1"/>
  <c r="K327" i="71"/>
  <c r="Q348" i="71"/>
  <c r="M13" i="71" s="1"/>
  <c r="K90" i="71"/>
  <c r="AK42" i="71"/>
  <c r="AK46" i="71"/>
  <c r="AK54" i="71"/>
  <c r="AK58" i="71"/>
  <c r="AK66" i="71"/>
  <c r="AK70" i="71"/>
  <c r="AK78" i="71"/>
  <c r="AK82" i="71"/>
  <c r="AK125" i="71"/>
  <c r="AK137" i="71"/>
  <c r="AK149" i="71"/>
  <c r="AK161" i="71"/>
  <c r="AK163" i="71"/>
  <c r="AK281" i="71"/>
  <c r="AK293" i="71"/>
  <c r="AK305" i="71"/>
  <c r="AK317" i="71"/>
  <c r="S348" i="71"/>
  <c r="M14" i="71" s="1"/>
  <c r="AE169" i="71"/>
  <c r="AE190" i="71" s="1"/>
  <c r="H20" i="71" s="1"/>
  <c r="AK198" i="71"/>
  <c r="AK210" i="71"/>
  <c r="AK222" i="71"/>
  <c r="AK234" i="71"/>
  <c r="AG90" i="71"/>
  <c r="AG111" i="71" s="1"/>
  <c r="F21" i="71" s="1"/>
  <c r="AK259" i="71"/>
  <c r="AG327" i="71"/>
  <c r="W348" i="71"/>
  <c r="M16" i="71" s="1"/>
  <c r="Y348" i="71"/>
  <c r="M17" i="71" s="1"/>
  <c r="AK122" i="71"/>
  <c r="AK124" i="71"/>
  <c r="AK128" i="71"/>
  <c r="AK152" i="71"/>
  <c r="AK158" i="71"/>
  <c r="AK160" i="71"/>
  <c r="AA348" i="71"/>
  <c r="M18" i="71" s="1"/>
  <c r="AK41" i="71"/>
  <c r="AK53" i="71"/>
  <c r="AK65" i="71"/>
  <c r="AK77" i="71"/>
  <c r="AK126" i="71"/>
  <c r="AK138" i="71"/>
  <c r="AK150" i="71"/>
  <c r="AK282" i="71"/>
  <c r="AK288" i="71"/>
  <c r="AK300" i="71"/>
  <c r="AK312" i="71"/>
  <c r="AE348" i="71"/>
  <c r="M20" i="71" s="1"/>
  <c r="O190" i="71"/>
  <c r="H12" i="71" s="1"/>
  <c r="AK197" i="71"/>
  <c r="AK209" i="71"/>
  <c r="AK221" i="71"/>
  <c r="AK233" i="71"/>
  <c r="AK245" i="71"/>
  <c r="I348" i="71"/>
  <c r="M7" i="71" s="1"/>
  <c r="K23" i="71"/>
  <c r="AG169" i="71"/>
  <c r="AK132" i="71"/>
  <c r="AI348" i="71"/>
  <c r="M22" i="71" s="1"/>
  <c r="G111" i="71"/>
  <c r="F6" i="71" s="1"/>
  <c r="O111" i="71"/>
  <c r="F12" i="71" s="1"/>
  <c r="AL248" i="71"/>
  <c r="AK268" i="71"/>
  <c r="AK87" i="71"/>
  <c r="AK85" i="71"/>
  <c r="AK309" i="71"/>
  <c r="AK84" i="71"/>
  <c r="AK48" i="71"/>
  <c r="AK83" i="71"/>
  <c r="O269" i="71"/>
  <c r="J12" i="71" s="1"/>
  <c r="M269" i="71"/>
  <c r="J11" i="71" s="1"/>
  <c r="AK211" i="71"/>
  <c r="AK217" i="71"/>
  <c r="AK200" i="71"/>
  <c r="AK206" i="71"/>
  <c r="AK208" i="71"/>
  <c r="AK212" i="71"/>
  <c r="AK218" i="71"/>
  <c r="AK220" i="71"/>
  <c r="AK311" i="71"/>
  <c r="AK49" i="71"/>
  <c r="AK213" i="71"/>
  <c r="AK215" i="71"/>
  <c r="AK219" i="71"/>
  <c r="I269" i="71"/>
  <c r="J7" i="71" s="1"/>
  <c r="AK144" i="71"/>
  <c r="AK119" i="71"/>
  <c r="AK123" i="71"/>
  <c r="AK157" i="71"/>
  <c r="AK154" i="71"/>
  <c r="AL90" i="71"/>
  <c r="W111" i="71"/>
  <c r="F16" i="71" s="1"/>
  <c r="Y111" i="71"/>
  <c r="F17" i="71" s="1"/>
  <c r="AA111" i="71"/>
  <c r="F18" i="71" s="1"/>
  <c r="AC111" i="71"/>
  <c r="F19" i="71" s="1"/>
  <c r="I111" i="71"/>
  <c r="F7" i="71" s="1"/>
  <c r="AI111" i="71"/>
  <c r="F22" i="71" s="1"/>
  <c r="M111" i="71"/>
  <c r="F11" i="71" s="1"/>
  <c r="AK298" i="71"/>
  <c r="AK322" i="71"/>
  <c r="AK39" i="71"/>
  <c r="AK47" i="71"/>
  <c r="AK51" i="71"/>
  <c r="AK315" i="71"/>
  <c r="AK295" i="71"/>
  <c r="AK301" i="71"/>
  <c r="AK38" i="71"/>
  <c r="AK40" i="71"/>
  <c r="AK50" i="71"/>
  <c r="AK52" i="71"/>
  <c r="AK237" i="71"/>
  <c r="AK239" i="71"/>
  <c r="AK243" i="71"/>
  <c r="AK278" i="71"/>
  <c r="AK280" i="71"/>
  <c r="AK60" i="71"/>
  <c r="AK216" i="71"/>
  <c r="AA269" i="71"/>
  <c r="J18" i="71" s="1"/>
  <c r="S269" i="71"/>
  <c r="J14" i="71" s="1"/>
  <c r="AK277" i="71"/>
  <c r="AK72" i="71"/>
  <c r="AK59" i="71"/>
  <c r="AK63" i="71"/>
  <c r="AK61" i="71"/>
  <c r="AK67" i="71"/>
  <c r="AK71" i="71"/>
  <c r="AK75" i="71"/>
  <c r="AK73" i="71"/>
  <c r="U248" i="71"/>
  <c r="U269" i="71" s="1"/>
  <c r="J15" i="71" s="1"/>
  <c r="AK214" i="71"/>
  <c r="AK294" i="71"/>
  <c r="AK62" i="71"/>
  <c r="AK64" i="71"/>
  <c r="Q269" i="71"/>
  <c r="J13" i="71" s="1"/>
  <c r="AK275" i="71"/>
  <c r="AK279" i="71"/>
  <c r="AK45" i="71"/>
  <c r="AK68" i="71"/>
  <c r="AK202" i="71"/>
  <c r="AK235" i="71"/>
  <c r="AK241" i="71"/>
  <c r="AK307" i="71"/>
  <c r="AK313" i="71"/>
  <c r="AK321" i="71"/>
  <c r="AK43" i="71"/>
  <c r="AK319" i="71"/>
  <c r="G269" i="71"/>
  <c r="J6" i="71" s="1"/>
  <c r="AK57" i="71"/>
  <c r="AK80" i="71"/>
  <c r="AK204" i="71"/>
  <c r="AK224" i="71"/>
  <c r="AK230" i="71"/>
  <c r="AK232" i="71"/>
  <c r="U327" i="71"/>
  <c r="U348" i="71" s="1"/>
  <c r="M15" i="71" s="1"/>
  <c r="AK284" i="71"/>
  <c r="AK290" i="71"/>
  <c r="AK292" i="71"/>
  <c r="AK323" i="71"/>
  <c r="AK55" i="71"/>
  <c r="AK226" i="71"/>
  <c r="AI269" i="71"/>
  <c r="J22" i="71" s="1"/>
  <c r="AK276" i="71"/>
  <c r="AK286" i="71"/>
  <c r="AK296" i="71"/>
  <c r="AK302" i="71"/>
  <c r="AK304" i="71"/>
  <c r="AK203" i="71"/>
  <c r="AK236" i="71"/>
  <c r="AK244" i="71"/>
  <c r="AK308" i="71"/>
  <c r="AK314" i="71"/>
  <c r="AK316" i="71"/>
  <c r="AK201" i="71"/>
  <c r="AK207" i="71"/>
  <c r="AK242" i="71"/>
  <c r="U90" i="71"/>
  <c r="U111" i="71" s="1"/>
  <c r="F15" i="71" s="1"/>
  <c r="AK44" i="71"/>
  <c r="AK69" i="71"/>
  <c r="AK199" i="71"/>
  <c r="AK205" i="71"/>
  <c r="AK228" i="71"/>
  <c r="AK238" i="71"/>
  <c r="AK310" i="71"/>
  <c r="AK320" i="71"/>
  <c r="AK324" i="71"/>
  <c r="Y269" i="71"/>
  <c r="J17" i="71" s="1"/>
  <c r="AK240" i="71"/>
  <c r="AK306" i="71"/>
  <c r="AK56" i="71"/>
  <c r="AK81" i="71"/>
  <c r="AK196" i="71"/>
  <c r="AK225" i="71"/>
  <c r="AK227" i="71"/>
  <c r="AK231" i="71"/>
  <c r="AC269" i="71"/>
  <c r="J19" i="71" s="1"/>
  <c r="AK285" i="71"/>
  <c r="AK287" i="71"/>
  <c r="AK291" i="71"/>
  <c r="AK318" i="71"/>
  <c r="AK79" i="71"/>
  <c r="AK223" i="71"/>
  <c r="AK229" i="71"/>
  <c r="W269" i="71"/>
  <c r="J16" i="71" s="1"/>
  <c r="AK283" i="71"/>
  <c r="AK289" i="71"/>
  <c r="AK297" i="71"/>
  <c r="AK299" i="71"/>
  <c r="AK303" i="71"/>
  <c r="W190" i="71"/>
  <c r="H16" i="71" s="1"/>
  <c r="U169" i="71"/>
  <c r="U190" i="71" s="1"/>
  <c r="H15" i="71" s="1"/>
  <c r="AK135" i="71"/>
  <c r="AK164" i="71"/>
  <c r="AK156" i="71"/>
  <c r="AK166" i="71"/>
  <c r="AK141" i="71"/>
  <c r="AK143" i="71"/>
  <c r="AK147" i="71"/>
  <c r="G190" i="71"/>
  <c r="H6" i="71" s="1"/>
  <c r="AL169" i="71"/>
  <c r="AK139" i="71"/>
  <c r="AK145" i="71"/>
  <c r="I190" i="71"/>
  <c r="H7" i="71" s="1"/>
  <c r="Y190" i="71"/>
  <c r="H17" i="71" s="1"/>
  <c r="AI190" i="71"/>
  <c r="H22" i="71" s="1"/>
  <c r="M190" i="71"/>
  <c r="H11" i="71" s="1"/>
  <c r="AK134" i="71"/>
  <c r="AK136" i="71"/>
  <c r="AK120" i="71"/>
  <c r="AK140" i="71"/>
  <c r="AK146" i="71"/>
  <c r="AK148" i="71"/>
  <c r="AA190" i="71"/>
  <c r="H18" i="71" s="1"/>
  <c r="AK142" i="71"/>
  <c r="AC190" i="71"/>
  <c r="H19" i="71" s="1"/>
  <c r="AE111" i="71"/>
  <c r="F20" i="71" s="1"/>
  <c r="AE269" i="71"/>
  <c r="J20" i="71" s="1"/>
  <c r="AG269" i="71"/>
  <c r="J21" i="71" s="1"/>
  <c r="AG190" i="71"/>
  <c r="H21" i="71" s="1"/>
  <c r="AG348" i="71"/>
  <c r="M21" i="71" s="1"/>
  <c r="E169" i="71"/>
  <c r="E190" i="71" s="1"/>
  <c r="H5" i="71" s="1"/>
  <c r="H8" i="71" s="1"/>
  <c r="E248" i="71"/>
  <c r="E327" i="71"/>
  <c r="E348" i="71" s="1"/>
  <c r="M5" i="71" s="1"/>
  <c r="M8" i="71" s="1"/>
  <c r="E90" i="71"/>
  <c r="E111" i="71" s="1"/>
  <c r="F5" i="71" s="1"/>
  <c r="AK90" i="71" l="1"/>
  <c r="M23" i="71"/>
  <c r="H23" i="71"/>
  <c r="H25" i="71" s="1"/>
  <c r="F23" i="71"/>
  <c r="F8" i="71"/>
  <c r="F25" i="71" s="1"/>
  <c r="E269" i="71"/>
  <c r="AL269" i="71" s="1"/>
  <c r="AK248" i="71"/>
  <c r="J8" i="71"/>
  <c r="AL190" i="71"/>
  <c r="AK169" i="71"/>
  <c r="J23" i="71"/>
  <c r="AK327" i="71"/>
  <c r="AL348" i="71"/>
  <c r="AL111" i="71"/>
  <c r="L12" i="2" l="1"/>
  <c r="L213" i="1"/>
  <c r="L212" i="1"/>
  <c r="L211" i="1"/>
  <c r="L210" i="1"/>
  <c r="L207" i="1"/>
  <c r="L206" i="1"/>
  <c r="L205" i="1"/>
  <c r="L204" i="1"/>
  <c r="L201" i="1"/>
  <c r="L200" i="1"/>
  <c r="L199" i="1"/>
  <c r="L198" i="1"/>
  <c r="L195" i="1"/>
  <c r="L194" i="1"/>
  <c r="L193" i="1"/>
  <c r="L192" i="1"/>
  <c r="L189" i="1"/>
  <c r="L188" i="1"/>
  <c r="L187" i="1"/>
  <c r="L186" i="1"/>
  <c r="L165" i="1"/>
  <c r="L164" i="1"/>
  <c r="L163" i="1"/>
  <c r="L162" i="1"/>
  <c r="L225" i="1"/>
  <c r="L224" i="1"/>
  <c r="L223" i="1"/>
  <c r="L219" i="1"/>
  <c r="L218" i="1"/>
  <c r="L217" i="1"/>
  <c r="L216" i="1"/>
  <c r="L222" i="1"/>
  <c r="M78" i="2"/>
  <c r="M79" i="2"/>
  <c r="M80" i="2"/>
  <c r="M81" i="2"/>
  <c r="M82" i="2"/>
  <c r="M83" i="2"/>
  <c r="M84" i="2"/>
  <c r="L85" i="2"/>
  <c r="M14" i="2" l="1"/>
  <c r="N220" i="1"/>
  <c r="N214" i="1"/>
  <c r="N208" i="1"/>
  <c r="N202" i="1"/>
  <c r="N196" i="1"/>
  <c r="N190" i="1"/>
  <c r="N184" i="1"/>
  <c r="N137" i="1"/>
  <c r="N138" i="1"/>
  <c r="N139" i="1"/>
  <c r="N140" i="1"/>
  <c r="N141" i="1"/>
  <c r="L267" i="1"/>
  <c r="L266" i="1"/>
  <c r="L235" i="1"/>
  <c r="L229" i="1"/>
  <c r="O235" i="1"/>
  <c r="L221" i="1"/>
  <c r="L215" i="1"/>
  <c r="L209" i="1"/>
  <c r="L203" i="1"/>
  <c r="L197" i="1"/>
  <c r="L191" i="1"/>
  <c r="L185" i="1"/>
  <c r="L161" i="1"/>
  <c r="L149" i="1"/>
  <c r="N149" i="1"/>
  <c r="L153" i="1"/>
  <c r="L152" i="1"/>
  <c r="L151" i="1"/>
  <c r="L150" i="1"/>
  <c r="L141" i="1"/>
  <c r="L140" i="1"/>
  <c r="L139" i="1"/>
  <c r="L138" i="1"/>
  <c r="L137" i="1"/>
  <c r="L83" i="1"/>
  <c r="L106" i="1"/>
  <c r="L105" i="1"/>
  <c r="L104" i="1"/>
  <c r="L103" i="1"/>
  <c r="L100" i="1"/>
  <c r="L99" i="1"/>
  <c r="L98" i="1"/>
  <c r="L97" i="1"/>
  <c r="L93" i="1"/>
  <c r="L92" i="1"/>
  <c r="L91" i="1"/>
  <c r="L90" i="1"/>
  <c r="L87" i="1"/>
  <c r="L56" i="1"/>
  <c r="L55" i="1"/>
  <c r="L54" i="1"/>
  <c r="L53" i="1"/>
  <c r="L39" i="1"/>
  <c r="L40" i="1"/>
  <c r="L41" i="1"/>
  <c r="L42" i="1"/>
  <c r="L49" i="1"/>
  <c r="L48" i="1"/>
  <c r="L47" i="1"/>
  <c r="L46" i="1"/>
  <c r="L52" i="1"/>
  <c r="L45" i="1"/>
  <c r="L9" i="1"/>
  <c r="L8" i="1"/>
  <c r="R3" i="2"/>
  <c r="A73" i="65"/>
  <c r="A74" i="65"/>
  <c r="A75" i="65"/>
  <c r="A76" i="65"/>
  <c r="A77" i="65"/>
  <c r="A78" i="65"/>
  <c r="A79" i="65"/>
  <c r="A80" i="65"/>
  <c r="A81" i="65"/>
  <c r="A82" i="65"/>
  <c r="A83" i="65"/>
  <c r="A84" i="65"/>
  <c r="A85" i="65"/>
  <c r="A86" i="65"/>
  <c r="A87" i="65"/>
  <c r="A88" i="65"/>
  <c r="A72" i="65"/>
  <c r="A55" i="65"/>
  <c r="A56" i="65"/>
  <c r="A57" i="65"/>
  <c r="A58" i="65"/>
  <c r="A59" i="65"/>
  <c r="A60" i="65"/>
  <c r="A61" i="65"/>
  <c r="A62" i="65"/>
  <c r="A63" i="65"/>
  <c r="A64" i="65"/>
  <c r="A65" i="65"/>
  <c r="A54" i="65"/>
  <c r="A37" i="65"/>
  <c r="A38" i="65"/>
  <c r="A39" i="65"/>
  <c r="A40" i="65"/>
  <c r="A41" i="65"/>
  <c r="A42" i="65"/>
  <c r="A43" i="65"/>
  <c r="A44" i="65"/>
  <c r="A45" i="65"/>
  <c r="A46" i="65"/>
  <c r="A36" i="65"/>
  <c r="I86" i="65"/>
  <c r="N66" i="65"/>
  <c r="M66" i="65"/>
  <c r="L66" i="65"/>
  <c r="K66" i="65"/>
  <c r="J66" i="65"/>
  <c r="I66" i="65"/>
  <c r="H66" i="65"/>
  <c r="H87" i="65" s="1"/>
  <c r="H89" i="65" s="1"/>
  <c r="G66" i="65"/>
  <c r="G87" i="65" s="1"/>
  <c r="G89" i="65" s="1"/>
  <c r="F66" i="65"/>
  <c r="F87" i="65" s="1"/>
  <c r="F89" i="65" s="1"/>
  <c r="E66" i="65"/>
  <c r="E87" i="65" s="1"/>
  <c r="D66" i="65"/>
  <c r="C66" i="65"/>
  <c r="O65" i="65"/>
  <c r="O66" i="65" s="1"/>
  <c r="K48" i="65"/>
  <c r="J48" i="65"/>
  <c r="I48" i="65"/>
  <c r="H48" i="65"/>
  <c r="G48" i="65"/>
  <c r="F48" i="65"/>
  <c r="E48" i="65"/>
  <c r="D48" i="65"/>
  <c r="C48" i="65"/>
  <c r="L48" i="65"/>
  <c r="E23" i="65"/>
  <c r="F23" i="65"/>
  <c r="E8" i="65"/>
  <c r="F8" i="65"/>
  <c r="A63" i="66"/>
  <c r="A64" i="66"/>
  <c r="A65" i="66"/>
  <c r="A66" i="66"/>
  <c r="A67" i="66"/>
  <c r="A68" i="66"/>
  <c r="A69" i="66"/>
  <c r="A70" i="66"/>
  <c r="A71" i="66"/>
  <c r="A72" i="66"/>
  <c r="A73" i="66"/>
  <c r="A62" i="66"/>
  <c r="A81" i="66"/>
  <c r="A82" i="66"/>
  <c r="A83" i="66"/>
  <c r="A84" i="66"/>
  <c r="A85" i="66"/>
  <c r="A86" i="66"/>
  <c r="A87" i="66"/>
  <c r="A88" i="66"/>
  <c r="A80" i="66"/>
  <c r="I81" i="66"/>
  <c r="I82" i="66"/>
  <c r="I85" i="66"/>
  <c r="I86" i="66"/>
  <c r="G23" i="66"/>
  <c r="H23" i="66"/>
  <c r="G8" i="66"/>
  <c r="H8" i="66"/>
  <c r="A46" i="66"/>
  <c r="A47" i="66"/>
  <c r="A48" i="66"/>
  <c r="A49" i="66"/>
  <c r="A50" i="66"/>
  <c r="A51" i="66"/>
  <c r="A52" i="66"/>
  <c r="A53" i="66"/>
  <c r="A54" i="66"/>
  <c r="A45" i="66"/>
  <c r="I88" i="66"/>
  <c r="I80" i="66"/>
  <c r="N74" i="66"/>
  <c r="M74" i="66"/>
  <c r="L74" i="66"/>
  <c r="K74" i="66"/>
  <c r="J74" i="66"/>
  <c r="I74" i="66"/>
  <c r="H74" i="66"/>
  <c r="H87" i="66" s="1"/>
  <c r="H89" i="66" s="1"/>
  <c r="G74" i="66"/>
  <c r="G87" i="66" s="1"/>
  <c r="G89" i="66" s="1"/>
  <c r="F74" i="66"/>
  <c r="F87" i="66" s="1"/>
  <c r="F89" i="66" s="1"/>
  <c r="E74" i="66"/>
  <c r="E87" i="66" s="1"/>
  <c r="D74" i="66"/>
  <c r="C74" i="66"/>
  <c r="O73" i="66"/>
  <c r="O72" i="66"/>
  <c r="O71" i="66"/>
  <c r="O70" i="66"/>
  <c r="O69" i="66"/>
  <c r="O68" i="66"/>
  <c r="O67" i="66"/>
  <c r="O66" i="66"/>
  <c r="O65" i="66"/>
  <c r="O64" i="66"/>
  <c r="O63" i="66"/>
  <c r="O62" i="66"/>
  <c r="K56" i="66"/>
  <c r="J56" i="66"/>
  <c r="I56" i="66"/>
  <c r="H56" i="66"/>
  <c r="G56" i="66"/>
  <c r="F56" i="66"/>
  <c r="E56" i="66"/>
  <c r="D56" i="66"/>
  <c r="C56" i="66"/>
  <c r="L54" i="66"/>
  <c r="L53" i="66"/>
  <c r="L52" i="66"/>
  <c r="L51" i="66"/>
  <c r="L50" i="66"/>
  <c r="L49" i="66"/>
  <c r="L48" i="66"/>
  <c r="L47" i="66"/>
  <c r="L46" i="66"/>
  <c r="L45" i="66"/>
  <c r="E23" i="64"/>
  <c r="F23" i="64"/>
  <c r="E8" i="64"/>
  <c r="F8" i="64"/>
  <c r="F25" i="64" s="1"/>
  <c r="I76" i="64"/>
  <c r="I84" i="64"/>
  <c r="G44" i="64"/>
  <c r="H44" i="64"/>
  <c r="I44" i="64"/>
  <c r="J44" i="64"/>
  <c r="K44" i="64"/>
  <c r="F38" i="64"/>
  <c r="C38" i="64"/>
  <c r="F37" i="64"/>
  <c r="C37" i="64"/>
  <c r="A37" i="64"/>
  <c r="A38" i="64"/>
  <c r="A39" i="64"/>
  <c r="A40" i="64"/>
  <c r="A41" i="64"/>
  <c r="A42" i="64"/>
  <c r="A36" i="64"/>
  <c r="A84" i="64"/>
  <c r="A83" i="64"/>
  <c r="I82" i="64"/>
  <c r="A82" i="64"/>
  <c r="I81" i="64"/>
  <c r="A81" i="64"/>
  <c r="A80" i="64"/>
  <c r="A79" i="64"/>
  <c r="A78" i="64"/>
  <c r="A77" i="64"/>
  <c r="A76" i="64"/>
  <c r="I75" i="64"/>
  <c r="A75" i="64"/>
  <c r="I74" i="64"/>
  <c r="A74" i="64"/>
  <c r="I73" i="64"/>
  <c r="A73" i="64"/>
  <c r="I72" i="64"/>
  <c r="A72" i="64"/>
  <c r="I71" i="64"/>
  <c r="A71" i="64"/>
  <c r="I70" i="64"/>
  <c r="A70" i="64"/>
  <c r="I69" i="64"/>
  <c r="A69" i="64"/>
  <c r="I68" i="64"/>
  <c r="A68" i="64"/>
  <c r="N62" i="64"/>
  <c r="M62" i="64"/>
  <c r="L62" i="64"/>
  <c r="K62" i="64"/>
  <c r="J62" i="64"/>
  <c r="I62" i="64"/>
  <c r="H62" i="64"/>
  <c r="H83" i="64" s="1"/>
  <c r="H85" i="64" s="1"/>
  <c r="G62" i="64"/>
  <c r="G83" i="64" s="1"/>
  <c r="G85" i="64" s="1"/>
  <c r="F62" i="64"/>
  <c r="F83" i="64" s="1"/>
  <c r="F85" i="64" s="1"/>
  <c r="E62" i="64"/>
  <c r="E83" i="64" s="1"/>
  <c r="D62" i="64"/>
  <c r="C62" i="64"/>
  <c r="A61" i="64"/>
  <c r="A60" i="64"/>
  <c r="A59" i="64"/>
  <c r="A58" i="64"/>
  <c r="A57" i="64"/>
  <c r="A56" i="64"/>
  <c r="A55" i="64"/>
  <c r="A54" i="64"/>
  <c r="A53" i="64"/>
  <c r="A52" i="64"/>
  <c r="A51" i="64"/>
  <c r="A50" i="64"/>
  <c r="E44" i="64"/>
  <c r="D44" i="64"/>
  <c r="L42" i="64"/>
  <c r="L41" i="64"/>
  <c r="L40" i="64"/>
  <c r="L39" i="64"/>
  <c r="L36" i="64"/>
  <c r="A65" i="63"/>
  <c r="A66" i="63"/>
  <c r="A67" i="63"/>
  <c r="A68" i="63"/>
  <c r="A69" i="63"/>
  <c r="A70" i="63"/>
  <c r="A71" i="63"/>
  <c r="A72" i="63"/>
  <c r="A73" i="63"/>
  <c r="A74" i="63"/>
  <c r="A75" i="63"/>
  <c r="A64" i="63"/>
  <c r="C58" i="63"/>
  <c r="F40" i="63"/>
  <c r="F39" i="63"/>
  <c r="F38" i="63"/>
  <c r="F37" i="63"/>
  <c r="E23" i="63"/>
  <c r="A40" i="63"/>
  <c r="A41" i="63"/>
  <c r="A42" i="63"/>
  <c r="A43" i="63"/>
  <c r="A44" i="63"/>
  <c r="A45" i="63"/>
  <c r="A46" i="63"/>
  <c r="A47" i="63"/>
  <c r="A48" i="63"/>
  <c r="A49" i="63"/>
  <c r="A50" i="63"/>
  <c r="A51" i="63"/>
  <c r="A52" i="63"/>
  <c r="A53" i="63"/>
  <c r="A54" i="63"/>
  <c r="A55" i="63"/>
  <c r="A56" i="63"/>
  <c r="A37" i="63"/>
  <c r="A38" i="63"/>
  <c r="A39" i="63"/>
  <c r="A36" i="63"/>
  <c r="E8" i="63"/>
  <c r="F8" i="63"/>
  <c r="F23" i="63"/>
  <c r="A92" i="63"/>
  <c r="A91" i="63"/>
  <c r="A90" i="63"/>
  <c r="A89" i="63"/>
  <c r="A88" i="63"/>
  <c r="A87" i="63"/>
  <c r="A86" i="63"/>
  <c r="A85" i="63"/>
  <c r="A84" i="63"/>
  <c r="A83" i="63"/>
  <c r="A82" i="63"/>
  <c r="N76" i="63"/>
  <c r="M76" i="63"/>
  <c r="L76" i="63"/>
  <c r="K76" i="63"/>
  <c r="J76" i="63"/>
  <c r="I76" i="63"/>
  <c r="H76" i="63"/>
  <c r="H91" i="63" s="1"/>
  <c r="H93" i="63" s="1"/>
  <c r="G76" i="63"/>
  <c r="G91" i="63" s="1"/>
  <c r="G93" i="63" s="1"/>
  <c r="F76" i="63"/>
  <c r="F91" i="63" s="1"/>
  <c r="F93" i="63" s="1"/>
  <c r="E76" i="63"/>
  <c r="E91" i="63" s="1"/>
  <c r="E93" i="63" s="1"/>
  <c r="D76" i="63"/>
  <c r="C76" i="63"/>
  <c r="O75" i="63"/>
  <c r="O74" i="63"/>
  <c r="O73" i="63"/>
  <c r="O72" i="63"/>
  <c r="O71" i="63"/>
  <c r="O70" i="63"/>
  <c r="O69" i="63"/>
  <c r="O68" i="63"/>
  <c r="O67" i="63"/>
  <c r="O66" i="63"/>
  <c r="O65" i="63"/>
  <c r="O64" i="63"/>
  <c r="K58" i="63"/>
  <c r="J58" i="63"/>
  <c r="I58" i="63"/>
  <c r="H58" i="63"/>
  <c r="G58" i="63"/>
  <c r="E58" i="63"/>
  <c r="D58" i="63"/>
  <c r="L56" i="63"/>
  <c r="L55" i="63"/>
  <c r="L54" i="63"/>
  <c r="L53" i="63"/>
  <c r="L52" i="63"/>
  <c r="L51" i="63"/>
  <c r="L50" i="63"/>
  <c r="L49" i="63"/>
  <c r="L48" i="63"/>
  <c r="L47" i="63"/>
  <c r="L46" i="63"/>
  <c r="L45" i="63"/>
  <c r="L44" i="63"/>
  <c r="L43" i="63"/>
  <c r="L42" i="63"/>
  <c r="L41" i="63"/>
  <c r="L39" i="63"/>
  <c r="L38" i="63"/>
  <c r="L36" i="63"/>
  <c r="H10" i="69"/>
  <c r="G23" i="69"/>
  <c r="G8" i="69"/>
  <c r="H8" i="69"/>
  <c r="A69" i="69"/>
  <c r="A70" i="69"/>
  <c r="A71" i="69"/>
  <c r="A72" i="69"/>
  <c r="A73" i="69"/>
  <c r="A74" i="69"/>
  <c r="A75" i="69"/>
  <c r="A76" i="69"/>
  <c r="A77" i="69"/>
  <c r="A78" i="69"/>
  <c r="A79" i="69"/>
  <c r="A80" i="69"/>
  <c r="A81" i="69"/>
  <c r="A82" i="69"/>
  <c r="A83" i="69"/>
  <c r="A84" i="69"/>
  <c r="A68" i="69"/>
  <c r="A52" i="69"/>
  <c r="A53" i="69"/>
  <c r="A54" i="69"/>
  <c r="A55" i="69"/>
  <c r="A56" i="69"/>
  <c r="A57" i="69"/>
  <c r="A58" i="69"/>
  <c r="A59" i="69"/>
  <c r="A60" i="69"/>
  <c r="A61" i="69"/>
  <c r="A51" i="69"/>
  <c r="A37" i="69"/>
  <c r="A38" i="69"/>
  <c r="A39" i="69"/>
  <c r="A40" i="69"/>
  <c r="A41" i="69"/>
  <c r="A42" i="69"/>
  <c r="A43" i="69"/>
  <c r="A36" i="69"/>
  <c r="O37" i="69"/>
  <c r="O38" i="69"/>
  <c r="O39" i="69"/>
  <c r="O40" i="69"/>
  <c r="O41" i="69"/>
  <c r="O42" i="69"/>
  <c r="O43" i="69"/>
  <c r="O36" i="69"/>
  <c r="I84" i="69"/>
  <c r="I82" i="69"/>
  <c r="I80" i="69"/>
  <c r="I79" i="69"/>
  <c r="I78" i="69"/>
  <c r="I75" i="69"/>
  <c r="I74" i="69"/>
  <c r="I73" i="69"/>
  <c r="I72" i="69"/>
  <c r="I71" i="69"/>
  <c r="I70" i="69"/>
  <c r="I69" i="69"/>
  <c r="I68" i="69"/>
  <c r="N62" i="69"/>
  <c r="H16" i="69" s="1"/>
  <c r="M62" i="69"/>
  <c r="H22" i="69" s="1"/>
  <c r="L62" i="69"/>
  <c r="H21" i="69" s="1"/>
  <c r="K62" i="69"/>
  <c r="J62" i="69"/>
  <c r="I62" i="69"/>
  <c r="H62" i="69"/>
  <c r="G62" i="69"/>
  <c r="F62" i="69"/>
  <c r="E62" i="69"/>
  <c r="D62" i="69"/>
  <c r="C62" i="69"/>
  <c r="O61" i="69"/>
  <c r="O60" i="69"/>
  <c r="O59" i="69"/>
  <c r="O58" i="69"/>
  <c r="O57" i="69"/>
  <c r="O56" i="69"/>
  <c r="O55" i="69"/>
  <c r="O54" i="69"/>
  <c r="O53" i="69"/>
  <c r="O52" i="69"/>
  <c r="O51" i="69"/>
  <c r="R51" i="69"/>
  <c r="R52" i="69"/>
  <c r="R53" i="69"/>
  <c r="R54" i="69"/>
  <c r="R55" i="69"/>
  <c r="R56" i="69"/>
  <c r="R57" i="69"/>
  <c r="R58" i="69"/>
  <c r="R59" i="69"/>
  <c r="R60" i="69"/>
  <c r="R61" i="69"/>
  <c r="K45" i="69"/>
  <c r="J45" i="69"/>
  <c r="H45" i="69"/>
  <c r="H17" i="69" s="1"/>
  <c r="F45" i="69"/>
  <c r="H15" i="69" s="1"/>
  <c r="E45" i="69"/>
  <c r="D45" i="69"/>
  <c r="C45" i="69"/>
  <c r="L44" i="69"/>
  <c r="L43" i="69"/>
  <c r="L42" i="69"/>
  <c r="I45" i="69"/>
  <c r="G45" i="69"/>
  <c r="L36" i="69"/>
  <c r="K13" i="62"/>
  <c r="M77" i="2"/>
  <c r="R77" i="2"/>
  <c r="M89" i="2"/>
  <c r="R89" i="2"/>
  <c r="M54" i="2"/>
  <c r="L11" i="2"/>
  <c r="E25" i="69" l="1"/>
  <c r="F25" i="66"/>
  <c r="N136" i="1"/>
  <c r="N132" i="1" s="1"/>
  <c r="E25" i="64"/>
  <c r="F58" i="63"/>
  <c r="F44" i="64"/>
  <c r="E25" i="66"/>
  <c r="E25" i="63"/>
  <c r="L56" i="66"/>
  <c r="L88" i="1"/>
  <c r="E89" i="65"/>
  <c r="I87" i="65"/>
  <c r="I89" i="65" s="1"/>
  <c r="E25" i="65"/>
  <c r="O74" i="66"/>
  <c r="E89" i="66"/>
  <c r="I87" i="66"/>
  <c r="I89" i="66" s="1"/>
  <c r="L37" i="64"/>
  <c r="I83" i="64"/>
  <c r="I85" i="64" s="1"/>
  <c r="C44" i="64"/>
  <c r="O62" i="64"/>
  <c r="L38" i="64"/>
  <c r="E85" i="64"/>
  <c r="L37" i="63"/>
  <c r="L40" i="63"/>
  <c r="O76" i="63"/>
  <c r="I93" i="63"/>
  <c r="I91" i="63"/>
  <c r="O62" i="69"/>
  <c r="L37" i="69"/>
  <c r="L45" i="69" s="1"/>
  <c r="L58" i="63" l="1"/>
  <c r="L44" i="64"/>
  <c r="B51" i="2" l="1"/>
  <c r="C51" i="2"/>
  <c r="D51" i="2"/>
  <c r="E51" i="2"/>
  <c r="F51" i="2"/>
  <c r="G51" i="2"/>
  <c r="H51" i="2"/>
  <c r="I51" i="2"/>
  <c r="J51" i="2"/>
  <c r="K51" i="2"/>
  <c r="M49" i="2"/>
  <c r="M28" i="2"/>
  <c r="M29" i="2"/>
  <c r="M30" i="2"/>
  <c r="M27" i="2"/>
  <c r="M31" i="2"/>
  <c r="M32" i="2"/>
  <c r="M33" i="2"/>
  <c r="M34" i="2"/>
  <c r="J37" i="4"/>
  <c r="H37" i="4"/>
  <c r="J28" i="4"/>
  <c r="H28" i="4"/>
  <c r="L130" i="1" s="1"/>
  <c r="J19" i="4"/>
  <c r="H19" i="4"/>
  <c r="L129" i="1" s="1"/>
  <c r="J10" i="4"/>
  <c r="H10" i="4"/>
  <c r="L128" i="1" s="1"/>
  <c r="J24" i="61"/>
  <c r="L123" i="1" s="1"/>
  <c r="J12" i="61"/>
  <c r="L125" i="1" s="1"/>
  <c r="D83" i="3"/>
  <c r="D85" i="3" s="1"/>
  <c r="V5" i="3"/>
  <c r="T5" i="3"/>
  <c r="U4" i="3"/>
  <c r="U5" i="3" s="1"/>
  <c r="E65" i="3"/>
  <c r="E66" i="3"/>
  <c r="E67" i="3"/>
  <c r="E64" i="3"/>
  <c r="G56" i="3"/>
  <c r="M9" i="49"/>
  <c r="M7" i="49"/>
  <c r="M5" i="49"/>
  <c r="M4" i="49"/>
  <c r="O221" i="1"/>
  <c r="O215" i="1"/>
  <c r="O209" i="1"/>
  <c r="O203" i="1"/>
  <c r="O161" i="1"/>
  <c r="O149" i="1"/>
  <c r="N89" i="1"/>
  <c r="E69" i="3" l="1"/>
  <c r="E71" i="3" s="1"/>
  <c r="E75" i="3" s="1"/>
  <c r="M15" i="49"/>
  <c r="L275" i="1" l="1"/>
  <c r="L274" i="1"/>
  <c r="L270" i="1"/>
  <c r="L269" i="1"/>
  <c r="L265" i="1"/>
  <c r="L261" i="1"/>
  <c r="L238" i="1"/>
  <c r="L168" i="1"/>
  <c r="L148" i="1"/>
  <c r="L136" i="1"/>
  <c r="L127" i="1"/>
  <c r="L117" i="1"/>
  <c r="L109" i="1"/>
  <c r="L102" i="1"/>
  <c r="L96" i="1"/>
  <c r="L86" i="1"/>
  <c r="L79" i="1"/>
  <c r="L70" i="1"/>
  <c r="L66" i="1"/>
  <c r="L61" i="1"/>
  <c r="L51" i="1"/>
  <c r="L44" i="1"/>
  <c r="L32" i="1"/>
  <c r="L23" i="1"/>
  <c r="L11" i="1"/>
  <c r="L7" i="1"/>
  <c r="U293" i="1"/>
  <c r="U8" i="1"/>
  <c r="U7" i="1" s="1"/>
  <c r="U12" i="1"/>
  <c r="U13" i="1"/>
  <c r="U14" i="1"/>
  <c r="U15" i="1"/>
  <c r="U19" i="1"/>
  <c r="U20" i="1"/>
  <c r="U23" i="1"/>
  <c r="U28" i="1"/>
  <c r="U29" i="1"/>
  <c r="U33" i="1"/>
  <c r="U32" i="1" s="1"/>
  <c r="U38" i="1"/>
  <c r="U39" i="1"/>
  <c r="U40" i="1"/>
  <c r="U41" i="1"/>
  <c r="U42" i="1"/>
  <c r="U44" i="1"/>
  <c r="U51" i="1"/>
  <c r="U62" i="1"/>
  <c r="U63" i="1"/>
  <c r="U67" i="1"/>
  <c r="U66" i="1" s="1"/>
  <c r="U70" i="1"/>
  <c r="U80" i="1"/>
  <c r="U81" i="1"/>
  <c r="U82" i="1"/>
  <c r="U84" i="1"/>
  <c r="U87" i="1"/>
  <c r="U89" i="1"/>
  <c r="U90" i="1"/>
  <c r="U91" i="1"/>
  <c r="U92" i="1"/>
  <c r="U93" i="1"/>
  <c r="U94" i="1"/>
  <c r="U97" i="1"/>
  <c r="U98" i="1"/>
  <c r="U99" i="1"/>
  <c r="U100" i="1"/>
  <c r="U103" i="1"/>
  <c r="U104" i="1"/>
  <c r="U105" i="1"/>
  <c r="U106" i="1"/>
  <c r="U107" i="1"/>
  <c r="U110" i="1"/>
  <c r="U111" i="1"/>
  <c r="U112" i="1"/>
  <c r="U113" i="1"/>
  <c r="U118" i="1"/>
  <c r="U119" i="1"/>
  <c r="U120" i="1"/>
  <c r="U121" i="1"/>
  <c r="U122" i="1"/>
  <c r="U123" i="1"/>
  <c r="U124" i="1"/>
  <c r="U125" i="1"/>
  <c r="U128" i="1"/>
  <c r="U129" i="1"/>
  <c r="U130" i="1"/>
  <c r="U133" i="1"/>
  <c r="U134" i="1"/>
  <c r="U135" i="1"/>
  <c r="U137" i="1"/>
  <c r="U138" i="1"/>
  <c r="U139" i="1"/>
  <c r="U140" i="1"/>
  <c r="U141" i="1"/>
  <c r="U142" i="1"/>
  <c r="U146" i="1"/>
  <c r="U147" i="1"/>
  <c r="U149" i="1"/>
  <c r="U150" i="1"/>
  <c r="U151" i="1"/>
  <c r="U152" i="1"/>
  <c r="U153" i="1"/>
  <c r="U154" i="1"/>
  <c r="U157" i="1"/>
  <c r="U158" i="1"/>
  <c r="U159" i="1"/>
  <c r="U161" i="1"/>
  <c r="U162" i="1"/>
  <c r="U163" i="1"/>
  <c r="U164" i="1"/>
  <c r="U165" i="1"/>
  <c r="U166" i="1"/>
  <c r="U169" i="1"/>
  <c r="U170" i="1"/>
  <c r="U171" i="1"/>
  <c r="U172" i="1"/>
  <c r="U175" i="1"/>
  <c r="U176" i="1"/>
  <c r="U177" i="1"/>
  <c r="U178" i="1"/>
  <c r="U179" i="1"/>
  <c r="U181" i="1"/>
  <c r="U185" i="1"/>
  <c r="U186" i="1"/>
  <c r="U187" i="1"/>
  <c r="U188" i="1"/>
  <c r="U189" i="1"/>
  <c r="U191" i="1"/>
  <c r="U192" i="1"/>
  <c r="U193" i="1"/>
  <c r="U194" i="1"/>
  <c r="U195" i="1"/>
  <c r="U197" i="1"/>
  <c r="U198" i="1"/>
  <c r="U199" i="1"/>
  <c r="U200" i="1"/>
  <c r="U201" i="1"/>
  <c r="U203" i="1"/>
  <c r="U204" i="1"/>
  <c r="U205" i="1"/>
  <c r="U206" i="1"/>
  <c r="U207" i="1"/>
  <c r="U209" i="1"/>
  <c r="U210" i="1"/>
  <c r="U211" i="1"/>
  <c r="U212" i="1"/>
  <c r="U213" i="1"/>
  <c r="U215" i="1"/>
  <c r="U216" i="1"/>
  <c r="U217" i="1"/>
  <c r="U218" i="1"/>
  <c r="U219" i="1"/>
  <c r="U221" i="1"/>
  <c r="U222" i="1"/>
  <c r="U223" i="1"/>
  <c r="U224" i="1"/>
  <c r="U225" i="1"/>
  <c r="U229" i="1"/>
  <c r="U230" i="1"/>
  <c r="U231" i="1"/>
  <c r="U233" i="1"/>
  <c r="U235" i="1"/>
  <c r="U239" i="1"/>
  <c r="U240" i="1"/>
  <c r="U241" i="1"/>
  <c r="U242" i="1"/>
  <c r="U243" i="1"/>
  <c r="U244" i="1"/>
  <c r="U245" i="1"/>
  <c r="U246" i="1"/>
  <c r="U247" i="1"/>
  <c r="U254" i="1"/>
  <c r="U255" i="1"/>
  <c r="U256" i="1"/>
  <c r="U257" i="1"/>
  <c r="U258" i="1"/>
  <c r="U259" i="1"/>
  <c r="U262" i="1"/>
  <c r="U263" i="1"/>
  <c r="U266" i="1"/>
  <c r="U267" i="1"/>
  <c r="U271" i="1"/>
  <c r="U272" i="1"/>
  <c r="U276" i="1"/>
  <c r="U277" i="1"/>
  <c r="U278" i="1"/>
  <c r="U269" i="1" l="1"/>
  <c r="U265" i="1"/>
  <c r="L78" i="1"/>
  <c r="L60" i="1"/>
  <c r="U27" i="1"/>
  <c r="U190" i="1"/>
  <c r="U220" i="1"/>
  <c r="U274" i="1"/>
  <c r="U37" i="1"/>
  <c r="U36" i="1" s="1"/>
  <c r="U270" i="1"/>
  <c r="U11" i="1"/>
  <c r="U148" i="1"/>
  <c r="U144" i="1" s="1"/>
  <c r="U61" i="1"/>
  <c r="U60" i="1" s="1"/>
  <c r="U136" i="1"/>
  <c r="U132" i="1" s="1"/>
  <c r="U86" i="1"/>
  <c r="U96" i="1"/>
  <c r="U88" i="1"/>
  <c r="U208" i="1"/>
  <c r="U214" i="1"/>
  <c r="U275" i="1"/>
  <c r="U127" i="1"/>
  <c r="U117" i="1"/>
  <c r="U196" i="1"/>
  <c r="U261" i="1"/>
  <c r="U202" i="1"/>
  <c r="U184" i="1"/>
  <c r="U160" i="1"/>
  <c r="U156" i="1" s="1"/>
  <c r="U109" i="1"/>
  <c r="U102" i="1"/>
  <c r="U238" i="1"/>
  <c r="U168" i="1"/>
  <c r="U228" i="1"/>
  <c r="U174" i="1"/>
  <c r="U18" i="1"/>
  <c r="U251" i="1"/>
  <c r="U79" i="1"/>
  <c r="T146" i="1"/>
  <c r="T91" i="1"/>
  <c r="T63" i="1"/>
  <c r="T125" i="1"/>
  <c r="T124" i="1"/>
  <c r="T123" i="1"/>
  <c r="T122" i="1"/>
  <c r="T121" i="1"/>
  <c r="T120" i="1"/>
  <c r="T119" i="1"/>
  <c r="T118" i="1"/>
  <c r="T129" i="1"/>
  <c r="T128" i="1"/>
  <c r="T130" i="1"/>
  <c r="T141" i="1"/>
  <c r="T140" i="1"/>
  <c r="T139" i="1"/>
  <c r="T138" i="1"/>
  <c r="T137" i="1"/>
  <c r="T135" i="1"/>
  <c r="T134" i="1"/>
  <c r="T133" i="1"/>
  <c r="T142" i="1"/>
  <c r="T147" i="1"/>
  <c r="T153" i="1"/>
  <c r="T152" i="1"/>
  <c r="T151" i="1"/>
  <c r="T150" i="1"/>
  <c r="T149" i="1"/>
  <c r="T154" i="1"/>
  <c r="T159" i="1"/>
  <c r="T158" i="1"/>
  <c r="T157" i="1"/>
  <c r="T166" i="1"/>
  <c r="T165" i="1"/>
  <c r="T164" i="1"/>
  <c r="T163" i="1"/>
  <c r="T162" i="1"/>
  <c r="T161" i="1"/>
  <c r="T172" i="1"/>
  <c r="T171" i="1"/>
  <c r="T170" i="1"/>
  <c r="T169" i="1"/>
  <c r="T181" i="1"/>
  <c r="T179" i="1"/>
  <c r="T178" i="1"/>
  <c r="T177" i="1"/>
  <c r="T176" i="1"/>
  <c r="T175" i="1"/>
  <c r="T189" i="1"/>
  <c r="T188" i="1"/>
  <c r="T187" i="1"/>
  <c r="T186" i="1"/>
  <c r="T185" i="1"/>
  <c r="T195" i="1"/>
  <c r="T194" i="1"/>
  <c r="T193" i="1"/>
  <c r="T192" i="1"/>
  <c r="T191" i="1"/>
  <c r="T201" i="1"/>
  <c r="T200" i="1"/>
  <c r="T199" i="1"/>
  <c r="T198" i="1"/>
  <c r="T197" i="1"/>
  <c r="T207" i="1"/>
  <c r="T206" i="1"/>
  <c r="T205" i="1"/>
  <c r="T204" i="1"/>
  <c r="T203" i="1"/>
  <c r="T213" i="1"/>
  <c r="T212" i="1"/>
  <c r="T211" i="1"/>
  <c r="T210" i="1"/>
  <c r="T209" i="1"/>
  <c r="T219" i="1"/>
  <c r="T218" i="1"/>
  <c r="T217" i="1"/>
  <c r="T216" i="1"/>
  <c r="T215" i="1"/>
  <c r="T224" i="1"/>
  <c r="T223" i="1"/>
  <c r="T222" i="1"/>
  <c r="T221" i="1"/>
  <c r="T225" i="1"/>
  <c r="T235" i="1"/>
  <c r="T233" i="1"/>
  <c r="T231" i="1"/>
  <c r="T230" i="1"/>
  <c r="T229" i="1"/>
  <c r="T247" i="1"/>
  <c r="T246" i="1"/>
  <c r="T245" i="1"/>
  <c r="T244" i="1"/>
  <c r="T243" i="1"/>
  <c r="T242" i="1"/>
  <c r="T241" i="1"/>
  <c r="T240" i="1"/>
  <c r="T239" i="1"/>
  <c r="T259" i="1"/>
  <c r="T258" i="1"/>
  <c r="T257" i="1"/>
  <c r="T256" i="1"/>
  <c r="T255" i="1"/>
  <c r="T254" i="1"/>
  <c r="T263" i="1"/>
  <c r="T262" i="1"/>
  <c r="T267" i="1"/>
  <c r="T266" i="1"/>
  <c r="T272" i="1"/>
  <c r="T271" i="1"/>
  <c r="T278" i="1"/>
  <c r="T277" i="1"/>
  <c r="T276" i="1"/>
  <c r="T113" i="1"/>
  <c r="T112" i="1"/>
  <c r="T111" i="1"/>
  <c r="T110" i="1"/>
  <c r="T107" i="1"/>
  <c r="T106" i="1"/>
  <c r="T105" i="1"/>
  <c r="T104" i="1"/>
  <c r="T103" i="1"/>
  <c r="T100" i="1"/>
  <c r="T99" i="1"/>
  <c r="T98" i="1"/>
  <c r="T97" i="1"/>
  <c r="T94" i="1"/>
  <c r="T93" i="1"/>
  <c r="T92" i="1"/>
  <c r="T90" i="1"/>
  <c r="T89" i="1"/>
  <c r="T87" i="1"/>
  <c r="T84" i="1"/>
  <c r="T82" i="1"/>
  <c r="T81" i="1"/>
  <c r="T80" i="1"/>
  <c r="T67" i="1"/>
  <c r="T66" i="1" s="1"/>
  <c r="B63" i="1"/>
  <c r="T42" i="1"/>
  <c r="T41" i="1"/>
  <c r="T40" i="1"/>
  <c r="T39" i="1"/>
  <c r="T38" i="1"/>
  <c r="T33" i="1"/>
  <c r="T32" i="1" s="1"/>
  <c r="T29" i="1"/>
  <c r="T28" i="1"/>
  <c r="T20" i="1"/>
  <c r="T19" i="1"/>
  <c r="T15" i="1"/>
  <c r="T14" i="1"/>
  <c r="T13" i="1"/>
  <c r="T12" i="1"/>
  <c r="B38" i="1"/>
  <c r="R37" i="1"/>
  <c r="Q37" i="1"/>
  <c r="B37" i="1"/>
  <c r="B36" i="1"/>
  <c r="B35" i="1"/>
  <c r="B34" i="1"/>
  <c r="B33" i="1"/>
  <c r="R32" i="1"/>
  <c r="Q32" i="1"/>
  <c r="P32" i="1"/>
  <c r="O32" i="1"/>
  <c r="N32" i="1"/>
  <c r="B32" i="1"/>
  <c r="B31" i="1"/>
  <c r="B30" i="1"/>
  <c r="B29" i="1"/>
  <c r="B28" i="1"/>
  <c r="R27" i="1"/>
  <c r="Q27" i="1"/>
  <c r="P27" i="1"/>
  <c r="O27" i="1"/>
  <c r="N27" i="1"/>
  <c r="B27" i="1"/>
  <c r="B26" i="1"/>
  <c r="B25" i="1"/>
  <c r="B24" i="1"/>
  <c r="T23" i="1"/>
  <c r="S23" i="1"/>
  <c r="R23" i="1"/>
  <c r="Q23" i="1"/>
  <c r="P23" i="1"/>
  <c r="B23" i="1"/>
  <c r="B22" i="1"/>
  <c r="B21" i="1"/>
  <c r="B20" i="1"/>
  <c r="B19" i="1"/>
  <c r="R18" i="1"/>
  <c r="Q18" i="1"/>
  <c r="P18" i="1"/>
  <c r="O18" i="1"/>
  <c r="B18" i="1"/>
  <c r="B17" i="1"/>
  <c r="B16" i="1"/>
  <c r="B15" i="1"/>
  <c r="B14" i="1"/>
  <c r="B13" i="1"/>
  <c r="B12" i="1"/>
  <c r="R11" i="1"/>
  <c r="Q11" i="1"/>
  <c r="P11" i="1"/>
  <c r="O11" i="1"/>
  <c r="N11" i="1"/>
  <c r="B11" i="1"/>
  <c r="B10" i="1"/>
  <c r="B9" i="1"/>
  <c r="R7" i="1"/>
  <c r="Q7" i="1"/>
  <c r="P7" i="1"/>
  <c r="O7" i="1"/>
  <c r="B7" i="1"/>
  <c r="B6" i="1"/>
  <c r="T8" i="1"/>
  <c r="T7" i="1" s="1"/>
  <c r="T293" i="1"/>
  <c r="T70" i="1"/>
  <c r="T51" i="1"/>
  <c r="T44" i="1"/>
  <c r="S179" i="1"/>
  <c r="S293" i="1"/>
  <c r="S278" i="1"/>
  <c r="S277" i="1"/>
  <c r="S276" i="1"/>
  <c r="S272" i="1"/>
  <c r="S271" i="1"/>
  <c r="S267" i="1"/>
  <c r="S266" i="1"/>
  <c r="S263" i="1"/>
  <c r="S262" i="1"/>
  <c r="H194" i="70"/>
  <c r="S259" i="1" s="1"/>
  <c r="S258" i="1"/>
  <c r="S257" i="1"/>
  <c r="S256" i="1"/>
  <c r="S255" i="1"/>
  <c r="S254" i="1"/>
  <c r="S247" i="1"/>
  <c r="S246" i="1"/>
  <c r="S245" i="1"/>
  <c r="S244" i="1"/>
  <c r="S243" i="1"/>
  <c r="S242" i="1"/>
  <c r="S241" i="1"/>
  <c r="S240" i="1"/>
  <c r="S239" i="1"/>
  <c r="S235" i="1"/>
  <c r="S233" i="1"/>
  <c r="S231" i="1"/>
  <c r="S230" i="1"/>
  <c r="S229" i="1"/>
  <c r="S225" i="1"/>
  <c r="S224" i="1"/>
  <c r="S223" i="1"/>
  <c r="S222" i="1"/>
  <c r="S221" i="1"/>
  <c r="S219" i="1"/>
  <c r="S218" i="1"/>
  <c r="S217" i="1"/>
  <c r="S216" i="1"/>
  <c r="S215" i="1"/>
  <c r="S213" i="1"/>
  <c r="S212" i="1"/>
  <c r="S211" i="1"/>
  <c r="S210" i="1"/>
  <c r="S209" i="1"/>
  <c r="S207" i="1"/>
  <c r="S206" i="1"/>
  <c r="S205" i="1"/>
  <c r="S204" i="1"/>
  <c r="S203" i="1"/>
  <c r="S201" i="1"/>
  <c r="S200" i="1"/>
  <c r="S199" i="1"/>
  <c r="S198" i="1"/>
  <c r="S197" i="1"/>
  <c r="S195" i="1"/>
  <c r="S194" i="1"/>
  <c r="S193" i="1"/>
  <c r="S192" i="1"/>
  <c r="S191" i="1"/>
  <c r="S189" i="1"/>
  <c r="S188" i="1"/>
  <c r="S187" i="1"/>
  <c r="S186" i="1"/>
  <c r="S185" i="1"/>
  <c r="S181" i="1"/>
  <c r="S178" i="1"/>
  <c r="S177" i="1"/>
  <c r="S176" i="1"/>
  <c r="S175" i="1"/>
  <c r="S172" i="1"/>
  <c r="S171" i="1"/>
  <c r="S170" i="1"/>
  <c r="S169" i="1"/>
  <c r="S166" i="1"/>
  <c r="S165" i="1"/>
  <c r="S164" i="1"/>
  <c r="S163" i="1"/>
  <c r="S162" i="1"/>
  <c r="S161" i="1"/>
  <c r="S159" i="1"/>
  <c r="S158" i="1"/>
  <c r="S157" i="1"/>
  <c r="S154" i="1"/>
  <c r="S153" i="1"/>
  <c r="S152" i="1"/>
  <c r="S151" i="1"/>
  <c r="S150" i="1"/>
  <c r="S149" i="1"/>
  <c r="S147" i="1"/>
  <c r="S146" i="1"/>
  <c r="S142" i="1"/>
  <c r="S141" i="1"/>
  <c r="S140" i="1"/>
  <c r="S139" i="1"/>
  <c r="S138" i="1"/>
  <c r="S137" i="1"/>
  <c r="S135" i="1"/>
  <c r="S134" i="1"/>
  <c r="S133" i="1"/>
  <c r="S130" i="1"/>
  <c r="S129" i="1"/>
  <c r="S128" i="1"/>
  <c r="S125" i="1"/>
  <c r="S124" i="1"/>
  <c r="S123" i="1"/>
  <c r="S122" i="1"/>
  <c r="S121" i="1"/>
  <c r="S120" i="1"/>
  <c r="S119" i="1"/>
  <c r="S118" i="1"/>
  <c r="S113" i="1"/>
  <c r="S112" i="1"/>
  <c r="S111" i="1"/>
  <c r="S110" i="1"/>
  <c r="S107" i="1"/>
  <c r="S106" i="1"/>
  <c r="S105" i="1"/>
  <c r="S104" i="1"/>
  <c r="S103" i="1"/>
  <c r="S100" i="1"/>
  <c r="S99" i="1"/>
  <c r="S98" i="1"/>
  <c r="S97" i="1"/>
  <c r="S93" i="1"/>
  <c r="S92" i="1"/>
  <c r="S91" i="1"/>
  <c r="S90" i="1"/>
  <c r="S89" i="1"/>
  <c r="S94" i="1"/>
  <c r="S87" i="1"/>
  <c r="S84" i="1"/>
  <c r="S82" i="1"/>
  <c r="S81" i="1"/>
  <c r="S80" i="1"/>
  <c r="S67" i="1"/>
  <c r="S42" i="1"/>
  <c r="S41" i="1"/>
  <c r="S40" i="1"/>
  <c r="S39" i="1"/>
  <c r="S38" i="1"/>
  <c r="S29" i="1"/>
  <c r="S28" i="1"/>
  <c r="S20" i="1"/>
  <c r="S19" i="1"/>
  <c r="S15" i="1"/>
  <c r="S14" i="1"/>
  <c r="S13" i="1"/>
  <c r="S12" i="1"/>
  <c r="S8" i="1"/>
  <c r="S7" i="1" s="1"/>
  <c r="S33" i="1"/>
  <c r="S32" i="1" s="1"/>
  <c r="U250" i="1" l="1"/>
  <c r="S275" i="1"/>
  <c r="S27" i="1"/>
  <c r="T208" i="1"/>
  <c r="T261" i="1"/>
  <c r="U6" i="1"/>
  <c r="U74" i="1" s="1"/>
  <c r="U281" i="1" s="1"/>
  <c r="T202" i="1"/>
  <c r="T117" i="1"/>
  <c r="S261" i="1"/>
  <c r="T214" i="1"/>
  <c r="S88" i="1"/>
  <c r="T148" i="1"/>
  <c r="T144" i="1" s="1"/>
  <c r="S202" i="1"/>
  <c r="T275" i="1"/>
  <c r="S136" i="1"/>
  <c r="S132" i="1" s="1"/>
  <c r="T37" i="1"/>
  <c r="T36" i="1" s="1"/>
  <c r="S184" i="1"/>
  <c r="S270" i="1"/>
  <c r="T96" i="1"/>
  <c r="U183" i="1"/>
  <c r="U116" i="1" s="1"/>
  <c r="U78" i="1"/>
  <c r="R6" i="1"/>
  <c r="S190" i="1"/>
  <c r="S269" i="1"/>
  <c r="S168" i="1"/>
  <c r="T11" i="1"/>
  <c r="T251" i="1"/>
  <c r="T238" i="1"/>
  <c r="T196" i="1"/>
  <c r="T184" i="1"/>
  <c r="T160" i="1"/>
  <c r="T156" i="1" s="1"/>
  <c r="T127" i="1"/>
  <c r="S18" i="1"/>
  <c r="S196" i="1"/>
  <c r="S274" i="1"/>
  <c r="S37" i="1"/>
  <c r="S228" i="1"/>
  <c r="S251" i="1"/>
  <c r="T18" i="1"/>
  <c r="T88" i="1"/>
  <c r="T265" i="1"/>
  <c r="T190" i="1"/>
  <c r="T168" i="1"/>
  <c r="S11" i="1"/>
  <c r="S174" i="1"/>
  <c r="S96" i="1"/>
  <c r="S160" i="1"/>
  <c r="S156" i="1" s="1"/>
  <c r="T174" i="1"/>
  <c r="S214" i="1"/>
  <c r="T136" i="1"/>
  <c r="T132" i="1" s="1"/>
  <c r="S102" i="1"/>
  <c r="S127" i="1"/>
  <c r="S86" i="1"/>
  <c r="T270" i="1"/>
  <c r="S238" i="1"/>
  <c r="T86" i="1"/>
  <c r="S109" i="1"/>
  <c r="T109" i="1"/>
  <c r="S79" i="1"/>
  <c r="S148" i="1"/>
  <c r="S144" i="1" s="1"/>
  <c r="T27" i="1"/>
  <c r="T102" i="1"/>
  <c r="T220" i="1"/>
  <c r="T228" i="1"/>
  <c r="T269" i="1"/>
  <c r="T79" i="1"/>
  <c r="T274" i="1"/>
  <c r="S265" i="1"/>
  <c r="S220" i="1"/>
  <c r="S208" i="1"/>
  <c r="S117" i="1"/>
  <c r="T250" i="1" l="1"/>
  <c r="S250" i="1"/>
  <c r="U280" i="1"/>
  <c r="U282" i="1" s="1"/>
  <c r="U297" i="1" s="1"/>
  <c r="U302" i="1" s="1"/>
  <c r="T78" i="1"/>
  <c r="S78" i="1"/>
  <c r="T183" i="1"/>
  <c r="T116" i="1" s="1"/>
  <c r="T6" i="1"/>
  <c r="S183" i="1"/>
  <c r="S116" i="1" s="1"/>
  <c r="S6" i="1"/>
  <c r="S280" i="1" l="1"/>
  <c r="T280" i="1"/>
  <c r="S63" i="1"/>
  <c r="S62" i="1"/>
  <c r="F291" i="70"/>
  <c r="D291" i="70"/>
  <c r="F288" i="70"/>
  <c r="D288" i="70"/>
  <c r="X274" i="70"/>
  <c r="W274" i="70"/>
  <c r="V274" i="70"/>
  <c r="U274" i="70"/>
  <c r="T274" i="70"/>
  <c r="S274" i="70"/>
  <c r="R274" i="70"/>
  <c r="Q274" i="70"/>
  <c r="P274" i="70"/>
  <c r="O274" i="70"/>
  <c r="N274" i="70"/>
  <c r="M274" i="70"/>
  <c r="L274" i="70"/>
  <c r="J274" i="70"/>
  <c r="H274" i="70"/>
  <c r="E274" i="70"/>
  <c r="X261" i="70"/>
  <c r="W261" i="70"/>
  <c r="V261" i="70"/>
  <c r="U261" i="70"/>
  <c r="T261" i="70"/>
  <c r="S261" i="70"/>
  <c r="R261" i="70"/>
  <c r="Q261" i="70"/>
  <c r="P261" i="70"/>
  <c r="O261" i="70"/>
  <c r="N261" i="70"/>
  <c r="M261" i="70"/>
  <c r="L261" i="70"/>
  <c r="J261" i="70"/>
  <c r="H261" i="70"/>
  <c r="F261" i="70"/>
  <c r="E261" i="70"/>
  <c r="D261" i="70"/>
  <c r="K260" i="70"/>
  <c r="G260" i="70"/>
  <c r="I260" i="70" s="1"/>
  <c r="K258" i="70"/>
  <c r="I258" i="70"/>
  <c r="G258" i="70"/>
  <c r="X257" i="70"/>
  <c r="W257" i="70"/>
  <c r="V257" i="70"/>
  <c r="U257" i="70"/>
  <c r="T257" i="70"/>
  <c r="S257" i="70"/>
  <c r="R257" i="70"/>
  <c r="Q257" i="70"/>
  <c r="P257" i="70"/>
  <c r="O257" i="70"/>
  <c r="N257" i="70"/>
  <c r="M257" i="70"/>
  <c r="L257" i="70"/>
  <c r="J257" i="70"/>
  <c r="H257" i="70"/>
  <c r="F257" i="70"/>
  <c r="E257" i="70"/>
  <c r="D257" i="70"/>
  <c r="K256" i="70"/>
  <c r="I256" i="70"/>
  <c r="G256" i="70"/>
  <c r="K255" i="70"/>
  <c r="I255" i="70"/>
  <c r="G255" i="70"/>
  <c r="X254" i="70"/>
  <c r="W254" i="70"/>
  <c r="V254" i="70"/>
  <c r="U254" i="70"/>
  <c r="T254" i="70"/>
  <c r="S254" i="70"/>
  <c r="R254" i="70"/>
  <c r="Q254" i="70"/>
  <c r="P254" i="70"/>
  <c r="O254" i="70"/>
  <c r="N254" i="70"/>
  <c r="M254" i="70"/>
  <c r="L254" i="70"/>
  <c r="J254" i="70"/>
  <c r="H254" i="70"/>
  <c r="F254" i="70"/>
  <c r="E254" i="70"/>
  <c r="D254" i="70"/>
  <c r="K253" i="70"/>
  <c r="I253" i="70"/>
  <c r="G253" i="70"/>
  <c r="K252" i="70"/>
  <c r="I252" i="70"/>
  <c r="G252" i="70"/>
  <c r="K251" i="70"/>
  <c r="I251" i="70"/>
  <c r="G251" i="70"/>
  <c r="K250" i="70"/>
  <c r="I250" i="70"/>
  <c r="G250" i="70"/>
  <c r="K249" i="70"/>
  <c r="I249" i="70"/>
  <c r="G249" i="70"/>
  <c r="K247" i="70"/>
  <c r="I247" i="70"/>
  <c r="G247" i="70"/>
  <c r="K246" i="70"/>
  <c r="I246" i="70"/>
  <c r="G246" i="70"/>
  <c r="K245" i="70"/>
  <c r="I245" i="70"/>
  <c r="G245" i="70"/>
  <c r="K244" i="70"/>
  <c r="I244" i="70"/>
  <c r="G244" i="70"/>
  <c r="K243" i="70"/>
  <c r="I243" i="70"/>
  <c r="G243" i="70"/>
  <c r="K242" i="70"/>
  <c r="I242" i="70"/>
  <c r="G242" i="70"/>
  <c r="K241" i="70"/>
  <c r="I241" i="70"/>
  <c r="G241" i="70"/>
  <c r="K240" i="70"/>
  <c r="I240" i="70"/>
  <c r="G240" i="70"/>
  <c r="K239" i="70"/>
  <c r="I239" i="70"/>
  <c r="G239" i="70"/>
  <c r="K237" i="70"/>
  <c r="I237" i="70"/>
  <c r="G237" i="70"/>
  <c r="K236" i="70"/>
  <c r="I236" i="70"/>
  <c r="G236" i="70"/>
  <c r="K235" i="70"/>
  <c r="I235" i="70"/>
  <c r="G235" i="70"/>
  <c r="K234" i="70"/>
  <c r="I234" i="70"/>
  <c r="G234" i="70"/>
  <c r="K233" i="70"/>
  <c r="I233" i="70"/>
  <c r="G233" i="70"/>
  <c r="K232" i="70"/>
  <c r="I232" i="70"/>
  <c r="G232" i="70"/>
  <c r="K231" i="70"/>
  <c r="I231" i="70"/>
  <c r="G231" i="70"/>
  <c r="K230" i="70"/>
  <c r="I230" i="70"/>
  <c r="G230" i="70"/>
  <c r="K229" i="70"/>
  <c r="I229" i="70"/>
  <c r="G229" i="70"/>
  <c r="K227" i="70"/>
  <c r="I227" i="70"/>
  <c r="G227" i="70"/>
  <c r="K226" i="70"/>
  <c r="I226" i="70"/>
  <c r="G226" i="70"/>
  <c r="K225" i="70"/>
  <c r="I225" i="70"/>
  <c r="G225" i="70"/>
  <c r="K224" i="70"/>
  <c r="I224" i="70"/>
  <c r="G224" i="70"/>
  <c r="K223" i="70"/>
  <c r="I223" i="70"/>
  <c r="G223" i="70"/>
  <c r="K222" i="70"/>
  <c r="I222" i="70"/>
  <c r="G222" i="70"/>
  <c r="K221" i="70"/>
  <c r="I221" i="70"/>
  <c r="G221" i="70"/>
  <c r="K220" i="70"/>
  <c r="I220" i="70"/>
  <c r="G220" i="70"/>
  <c r="K219" i="70"/>
  <c r="I219" i="70"/>
  <c r="G219" i="70"/>
  <c r="K217" i="70"/>
  <c r="I217" i="70"/>
  <c r="G217" i="70"/>
  <c r="K216" i="70"/>
  <c r="I216" i="70"/>
  <c r="G216" i="70"/>
  <c r="K215" i="70"/>
  <c r="I215" i="70"/>
  <c r="G215" i="70"/>
  <c r="K214" i="70"/>
  <c r="I214" i="70"/>
  <c r="G214" i="70"/>
  <c r="K213" i="70"/>
  <c r="I213" i="70"/>
  <c r="G213" i="70"/>
  <c r="K212" i="70"/>
  <c r="I212" i="70"/>
  <c r="G212" i="70"/>
  <c r="K211" i="70"/>
  <c r="I211" i="70"/>
  <c r="G211" i="70"/>
  <c r="K210" i="70"/>
  <c r="I210" i="70"/>
  <c r="G210" i="70"/>
  <c r="K209" i="70"/>
  <c r="I209" i="70"/>
  <c r="G209" i="70"/>
  <c r="K207" i="70"/>
  <c r="I207" i="70"/>
  <c r="G207" i="70"/>
  <c r="K206" i="70"/>
  <c r="I206" i="70"/>
  <c r="G206" i="70"/>
  <c r="K205" i="70"/>
  <c r="I205" i="70"/>
  <c r="G205" i="70"/>
  <c r="K204" i="70"/>
  <c r="I204" i="70"/>
  <c r="G204" i="70"/>
  <c r="K203" i="70"/>
  <c r="I203" i="70"/>
  <c r="G203" i="70"/>
  <c r="K202" i="70"/>
  <c r="I202" i="70"/>
  <c r="G202" i="70"/>
  <c r="K201" i="70"/>
  <c r="I201" i="70"/>
  <c r="G201" i="70"/>
  <c r="K200" i="70"/>
  <c r="I200" i="70"/>
  <c r="G200" i="70"/>
  <c r="K199" i="70"/>
  <c r="I199" i="70"/>
  <c r="G199" i="70"/>
  <c r="K197" i="70"/>
  <c r="I197" i="70"/>
  <c r="G197" i="70"/>
  <c r="K196" i="70"/>
  <c r="I196" i="70"/>
  <c r="G196" i="70"/>
  <c r="K195" i="70"/>
  <c r="I195" i="70"/>
  <c r="G195" i="70"/>
  <c r="K194" i="70"/>
  <c r="I194" i="70"/>
  <c r="G194" i="70"/>
  <c r="K193" i="70"/>
  <c r="I193" i="70"/>
  <c r="G193" i="70"/>
  <c r="K192" i="70"/>
  <c r="I192" i="70"/>
  <c r="G192" i="70"/>
  <c r="K190" i="70"/>
  <c r="I190" i="70"/>
  <c r="G190" i="70"/>
  <c r="K189" i="70"/>
  <c r="I189" i="70"/>
  <c r="G189" i="70"/>
  <c r="K188" i="70"/>
  <c r="I188" i="70"/>
  <c r="G188" i="70"/>
  <c r="K187" i="70"/>
  <c r="I187" i="70"/>
  <c r="G187" i="70"/>
  <c r="K186" i="70"/>
  <c r="I186" i="70"/>
  <c r="G186" i="70"/>
  <c r="K185" i="70"/>
  <c r="I185" i="70"/>
  <c r="G185" i="70"/>
  <c r="K184" i="70"/>
  <c r="I184" i="70"/>
  <c r="G184" i="70"/>
  <c r="K183" i="70"/>
  <c r="I183" i="70"/>
  <c r="G183" i="70"/>
  <c r="X180" i="70"/>
  <c r="W180" i="70"/>
  <c r="V180" i="70"/>
  <c r="U180" i="70"/>
  <c r="T180" i="70"/>
  <c r="S180" i="70"/>
  <c r="R180" i="70"/>
  <c r="Q180" i="70"/>
  <c r="P180" i="70"/>
  <c r="O180" i="70"/>
  <c r="N180" i="70"/>
  <c r="M180" i="70"/>
  <c r="L180" i="70"/>
  <c r="J180" i="70"/>
  <c r="H180" i="70"/>
  <c r="F180" i="70"/>
  <c r="E180" i="70"/>
  <c r="D180" i="70"/>
  <c r="K179" i="70"/>
  <c r="I179" i="70"/>
  <c r="G179" i="70"/>
  <c r="K178" i="70"/>
  <c r="I178" i="70"/>
  <c r="G178" i="70"/>
  <c r="K176" i="70"/>
  <c r="I176" i="70"/>
  <c r="G176" i="70"/>
  <c r="K175" i="70"/>
  <c r="I175" i="70"/>
  <c r="G175" i="70"/>
  <c r="K174" i="70"/>
  <c r="I174" i="70"/>
  <c r="G174" i="70"/>
  <c r="K173" i="70"/>
  <c r="I173" i="70"/>
  <c r="G173" i="70"/>
  <c r="K172" i="70"/>
  <c r="I172" i="70"/>
  <c r="G172" i="70"/>
  <c r="K171" i="70"/>
  <c r="I171" i="70"/>
  <c r="G171" i="70"/>
  <c r="K170" i="70"/>
  <c r="I170" i="70"/>
  <c r="G170" i="70"/>
  <c r="K169" i="70"/>
  <c r="I169" i="70"/>
  <c r="G169" i="70"/>
  <c r="I167" i="70"/>
  <c r="G167" i="70"/>
  <c r="K166" i="70"/>
  <c r="I166" i="70"/>
  <c r="G166" i="70"/>
  <c r="I165" i="70"/>
  <c r="G165" i="70"/>
  <c r="K164" i="70"/>
  <c r="I164" i="70"/>
  <c r="G164" i="70"/>
  <c r="K163" i="70"/>
  <c r="I163" i="70"/>
  <c r="G163" i="70"/>
  <c r="K162" i="70"/>
  <c r="I162" i="70"/>
  <c r="G162" i="70"/>
  <c r="K161" i="70"/>
  <c r="I161" i="70"/>
  <c r="G161" i="70"/>
  <c r="K160" i="70"/>
  <c r="I160" i="70"/>
  <c r="G160" i="70"/>
  <c r="K159" i="70"/>
  <c r="I159" i="70"/>
  <c r="G159" i="70"/>
  <c r="K156" i="70"/>
  <c r="I156" i="70"/>
  <c r="G156" i="70"/>
  <c r="K155" i="70"/>
  <c r="I155" i="70"/>
  <c r="G155" i="70"/>
  <c r="K154" i="70"/>
  <c r="I154" i="70"/>
  <c r="G154" i="70"/>
  <c r="K153" i="70"/>
  <c r="I153" i="70"/>
  <c r="G153" i="70"/>
  <c r="K152" i="70"/>
  <c r="I152" i="70"/>
  <c r="G152" i="70"/>
  <c r="K151" i="70"/>
  <c r="I151" i="70"/>
  <c r="G151" i="70"/>
  <c r="K149" i="70"/>
  <c r="I149" i="70"/>
  <c r="G149" i="70"/>
  <c r="K148" i="70"/>
  <c r="I148" i="70"/>
  <c r="G148" i="70"/>
  <c r="K147" i="70"/>
  <c r="I147" i="70"/>
  <c r="G147" i="70"/>
  <c r="K146" i="70"/>
  <c r="I146" i="70"/>
  <c r="G146" i="70"/>
  <c r="K144" i="70"/>
  <c r="I144" i="70"/>
  <c r="G144" i="70"/>
  <c r="K143" i="70"/>
  <c r="I143" i="70"/>
  <c r="G143" i="70"/>
  <c r="K142" i="70"/>
  <c r="I142" i="70"/>
  <c r="G142" i="70"/>
  <c r="K140" i="70"/>
  <c r="I140" i="70"/>
  <c r="G140" i="70"/>
  <c r="K139" i="70"/>
  <c r="I139" i="70"/>
  <c r="G139" i="70"/>
  <c r="K135" i="70"/>
  <c r="I135" i="70"/>
  <c r="G135" i="70"/>
  <c r="K134" i="70"/>
  <c r="I134" i="70"/>
  <c r="G134" i="70"/>
  <c r="K133" i="70"/>
  <c r="I133" i="70"/>
  <c r="G133" i="70"/>
  <c r="K132" i="70"/>
  <c r="I132" i="70"/>
  <c r="G132" i="70"/>
  <c r="K130" i="70"/>
  <c r="I130" i="70"/>
  <c r="G130" i="70"/>
  <c r="K129" i="70"/>
  <c r="I129" i="70"/>
  <c r="G129" i="70"/>
  <c r="K128" i="70"/>
  <c r="I128" i="70"/>
  <c r="G128" i="70"/>
  <c r="K126" i="70"/>
  <c r="I126" i="70"/>
  <c r="G126" i="70"/>
  <c r="K125" i="70"/>
  <c r="I125" i="70"/>
  <c r="G125" i="70"/>
  <c r="K124" i="70"/>
  <c r="I124" i="70"/>
  <c r="G124" i="70"/>
  <c r="K123" i="70"/>
  <c r="I123" i="70"/>
  <c r="G123" i="70"/>
  <c r="K121" i="70"/>
  <c r="I121" i="70"/>
  <c r="G121" i="70"/>
  <c r="K120" i="70"/>
  <c r="I120" i="70"/>
  <c r="G120" i="70"/>
  <c r="K119" i="70"/>
  <c r="I119" i="70"/>
  <c r="G119" i="70"/>
  <c r="K117" i="70"/>
  <c r="I117" i="70"/>
  <c r="G117" i="70"/>
  <c r="K116" i="70"/>
  <c r="I116" i="70"/>
  <c r="G116" i="70"/>
  <c r="K114" i="70"/>
  <c r="I114" i="70"/>
  <c r="G114" i="70"/>
  <c r="K113" i="70"/>
  <c r="I113" i="70"/>
  <c r="G113" i="70"/>
  <c r="K112" i="70"/>
  <c r="I112" i="70"/>
  <c r="G112" i="70"/>
  <c r="K111" i="70"/>
  <c r="I111" i="70"/>
  <c r="G111" i="70"/>
  <c r="K110" i="70"/>
  <c r="I110" i="70"/>
  <c r="G110" i="70"/>
  <c r="K109" i="70"/>
  <c r="I109" i="70"/>
  <c r="G109" i="70"/>
  <c r="K107" i="70"/>
  <c r="I107" i="70"/>
  <c r="G107" i="70"/>
  <c r="K106" i="70"/>
  <c r="I106" i="70"/>
  <c r="G106" i="70"/>
  <c r="K105" i="70"/>
  <c r="I105" i="70"/>
  <c r="G105" i="70"/>
  <c r="K103" i="70"/>
  <c r="I103" i="70"/>
  <c r="G103" i="70"/>
  <c r="K102" i="70"/>
  <c r="I102" i="70"/>
  <c r="G102" i="70"/>
  <c r="K101" i="70"/>
  <c r="I101" i="70"/>
  <c r="G101" i="70"/>
  <c r="K100" i="70"/>
  <c r="I100" i="70"/>
  <c r="G100" i="70"/>
  <c r="K99" i="70"/>
  <c r="I99" i="70"/>
  <c r="G99" i="70"/>
  <c r="K98" i="70"/>
  <c r="I98" i="70"/>
  <c r="G98" i="70"/>
  <c r="K97" i="70"/>
  <c r="I97" i="70"/>
  <c r="G97" i="70"/>
  <c r="K96" i="70"/>
  <c r="I96" i="70"/>
  <c r="G96" i="70"/>
  <c r="K95" i="70"/>
  <c r="I95" i="70"/>
  <c r="G95" i="70"/>
  <c r="K93" i="70"/>
  <c r="I93" i="70"/>
  <c r="G93" i="70"/>
  <c r="K92" i="70"/>
  <c r="I92" i="70"/>
  <c r="G92" i="70"/>
  <c r="K91" i="70"/>
  <c r="I91" i="70"/>
  <c r="G91" i="70"/>
  <c r="K88" i="70"/>
  <c r="I88" i="70"/>
  <c r="G88" i="70"/>
  <c r="K87" i="70"/>
  <c r="I87" i="70"/>
  <c r="G87" i="70"/>
  <c r="K86" i="70"/>
  <c r="I86" i="70"/>
  <c r="G86" i="70"/>
  <c r="K84" i="70"/>
  <c r="I84" i="70"/>
  <c r="G84" i="70"/>
  <c r="K83" i="70"/>
  <c r="I83" i="70"/>
  <c r="G83" i="70"/>
  <c r="K82" i="70"/>
  <c r="I82" i="70"/>
  <c r="G82" i="70"/>
  <c r="K80" i="70"/>
  <c r="I80" i="70"/>
  <c r="G80" i="70"/>
  <c r="K79" i="70"/>
  <c r="I79" i="70"/>
  <c r="G79" i="70"/>
  <c r="K77" i="70"/>
  <c r="I77" i="70"/>
  <c r="G77" i="70"/>
  <c r="K76" i="70"/>
  <c r="I76" i="70"/>
  <c r="G76" i="70"/>
  <c r="K75" i="70"/>
  <c r="I75" i="70"/>
  <c r="G75" i="70"/>
  <c r="K73" i="70"/>
  <c r="I73" i="70"/>
  <c r="G73" i="70"/>
  <c r="K72" i="70"/>
  <c r="I72" i="70"/>
  <c r="G72" i="70"/>
  <c r="K71" i="70"/>
  <c r="I71" i="70"/>
  <c r="G71" i="70"/>
  <c r="K69" i="70"/>
  <c r="I69" i="70"/>
  <c r="G69" i="70"/>
  <c r="K68" i="70"/>
  <c r="I68" i="70"/>
  <c r="G68" i="70"/>
  <c r="K67" i="70"/>
  <c r="I67" i="70"/>
  <c r="G67" i="70"/>
  <c r="K66" i="70"/>
  <c r="I66" i="70"/>
  <c r="G66" i="70"/>
  <c r="K64" i="70"/>
  <c r="I64" i="70"/>
  <c r="G64" i="70"/>
  <c r="K63" i="70"/>
  <c r="I63" i="70"/>
  <c r="G63" i="70"/>
  <c r="K62" i="70"/>
  <c r="I62" i="70"/>
  <c r="G62" i="70"/>
  <c r="K61" i="70"/>
  <c r="I61" i="70"/>
  <c r="G61" i="70"/>
  <c r="K60" i="70"/>
  <c r="I60" i="70"/>
  <c r="G60" i="70"/>
  <c r="K59" i="70"/>
  <c r="I59" i="70"/>
  <c r="G59" i="70"/>
  <c r="K58" i="70"/>
  <c r="I58" i="70"/>
  <c r="G58" i="70"/>
  <c r="K57" i="70"/>
  <c r="I57" i="70"/>
  <c r="G57" i="70"/>
  <c r="X55" i="70"/>
  <c r="W55" i="70"/>
  <c r="V55" i="70"/>
  <c r="U55" i="70"/>
  <c r="T55" i="70"/>
  <c r="S55" i="70"/>
  <c r="R55" i="70"/>
  <c r="Q55" i="70"/>
  <c r="P55" i="70"/>
  <c r="O55" i="70"/>
  <c r="N55" i="70"/>
  <c r="M55" i="70"/>
  <c r="L55" i="70"/>
  <c r="J55" i="70"/>
  <c r="H55" i="70"/>
  <c r="F55" i="70"/>
  <c r="E55" i="70"/>
  <c r="D55" i="70"/>
  <c r="K54" i="70"/>
  <c r="I54" i="70"/>
  <c r="G54" i="70"/>
  <c r="K53" i="70"/>
  <c r="I53" i="70"/>
  <c r="G53" i="70"/>
  <c r="K52" i="70"/>
  <c r="I52" i="70"/>
  <c r="G52" i="70"/>
  <c r="K50" i="70"/>
  <c r="I50" i="70"/>
  <c r="G50" i="70"/>
  <c r="K49" i="70"/>
  <c r="I49" i="70"/>
  <c r="G49" i="70"/>
  <c r="K48" i="70"/>
  <c r="I48" i="70"/>
  <c r="G48" i="70"/>
  <c r="K47" i="70"/>
  <c r="I47" i="70"/>
  <c r="G47" i="70"/>
  <c r="K46" i="70"/>
  <c r="I46" i="70"/>
  <c r="G46" i="70"/>
  <c r="K45" i="70"/>
  <c r="I45" i="70"/>
  <c r="G45" i="70"/>
  <c r="K43" i="70"/>
  <c r="I43" i="70"/>
  <c r="G43" i="70"/>
  <c r="K42" i="70"/>
  <c r="I42" i="70"/>
  <c r="G42" i="70"/>
  <c r="K41" i="70"/>
  <c r="I41" i="70"/>
  <c r="G41" i="70"/>
  <c r="K40" i="70"/>
  <c r="I40" i="70"/>
  <c r="G40" i="70"/>
  <c r="K37" i="70"/>
  <c r="I37" i="70"/>
  <c r="G37" i="70"/>
  <c r="K36" i="70"/>
  <c r="I36" i="70"/>
  <c r="G36" i="70"/>
  <c r="K35" i="70"/>
  <c r="I35" i="70"/>
  <c r="G35" i="70"/>
  <c r="K34" i="70"/>
  <c r="I34" i="70"/>
  <c r="G34" i="70"/>
  <c r="K33" i="70"/>
  <c r="I33" i="70"/>
  <c r="G33" i="70"/>
  <c r="K32" i="70"/>
  <c r="I32" i="70"/>
  <c r="G32" i="70"/>
  <c r="X28" i="70"/>
  <c r="W28" i="70"/>
  <c r="V28" i="70"/>
  <c r="U28" i="70"/>
  <c r="T28" i="70"/>
  <c r="S28" i="70"/>
  <c r="R28" i="70"/>
  <c r="Q28" i="70"/>
  <c r="P28" i="70"/>
  <c r="O28" i="70"/>
  <c r="N28" i="70"/>
  <c r="M28" i="70"/>
  <c r="L28" i="70"/>
  <c r="J28" i="70"/>
  <c r="H28" i="70"/>
  <c r="F28" i="70"/>
  <c r="E28" i="70"/>
  <c r="D28" i="70"/>
  <c r="K27" i="70"/>
  <c r="I27" i="70"/>
  <c r="G27" i="70"/>
  <c r="K26" i="70"/>
  <c r="K25" i="70"/>
  <c r="T62" i="1" s="1"/>
  <c r="T61" i="1" s="1"/>
  <c r="T60" i="1" s="1"/>
  <c r="T74" i="1" s="1"/>
  <c r="T281" i="1" s="1"/>
  <c r="G25" i="70"/>
  <c r="K24" i="70"/>
  <c r="I24" i="70"/>
  <c r="G24" i="70"/>
  <c r="X23" i="70"/>
  <c r="W23" i="70"/>
  <c r="V23" i="70"/>
  <c r="V30" i="70" s="1"/>
  <c r="V264" i="70" s="1"/>
  <c r="U23" i="70"/>
  <c r="T23" i="70"/>
  <c r="S23" i="70"/>
  <c r="R23" i="70"/>
  <c r="Q23" i="70"/>
  <c r="P23" i="70"/>
  <c r="O23" i="70"/>
  <c r="N23" i="70"/>
  <c r="N30" i="70" s="1"/>
  <c r="N264" i="70" s="1"/>
  <c r="M23" i="70"/>
  <c r="L23" i="70"/>
  <c r="J23" i="70"/>
  <c r="H23" i="70"/>
  <c r="F23" i="70"/>
  <c r="E23" i="70"/>
  <c r="D23" i="70"/>
  <c r="K22" i="70"/>
  <c r="I22" i="70"/>
  <c r="G22" i="70"/>
  <c r="K21" i="70"/>
  <c r="I21" i="70"/>
  <c r="G21" i="70"/>
  <c r="K20" i="70"/>
  <c r="I20" i="70"/>
  <c r="G20" i="70"/>
  <c r="K19" i="70"/>
  <c r="I19" i="70"/>
  <c r="G19" i="70"/>
  <c r="K18" i="70"/>
  <c r="I18" i="70"/>
  <c r="G18" i="70"/>
  <c r="K17" i="70"/>
  <c r="I17" i="70"/>
  <c r="G17" i="70"/>
  <c r="K16" i="70"/>
  <c r="I16" i="70"/>
  <c r="G16" i="70"/>
  <c r="K15" i="70"/>
  <c r="I15" i="70"/>
  <c r="G15" i="70"/>
  <c r="K14" i="70"/>
  <c r="I14" i="70"/>
  <c r="G14" i="70"/>
  <c r="K13" i="70"/>
  <c r="I13" i="70"/>
  <c r="G13" i="70"/>
  <c r="K12" i="70"/>
  <c r="I12" i="70"/>
  <c r="G12" i="70"/>
  <c r="K10" i="70"/>
  <c r="I10" i="70"/>
  <c r="G10" i="70"/>
  <c r="K9" i="70"/>
  <c r="I9" i="70"/>
  <c r="G9" i="70"/>
  <c r="K8" i="70"/>
  <c r="I8" i="70"/>
  <c r="G8" i="70"/>
  <c r="K7" i="70"/>
  <c r="I7" i="70"/>
  <c r="G7" i="70"/>
  <c r="S70" i="1"/>
  <c r="S66" i="1"/>
  <c r="S61" i="1"/>
  <c r="S51" i="1"/>
  <c r="S44" i="1"/>
  <c r="U30" i="70" l="1"/>
  <c r="U264" i="70" s="1"/>
  <c r="M30" i="70"/>
  <c r="M264" i="70" s="1"/>
  <c r="O30" i="70"/>
  <c r="O264" i="70" s="1"/>
  <c r="M263" i="70"/>
  <c r="U263" i="70"/>
  <c r="U266" i="70" s="1"/>
  <c r="U277" i="70" s="1"/>
  <c r="U281" i="70" s="1"/>
  <c r="N263" i="70"/>
  <c r="V263" i="70"/>
  <c r="V266" i="70" s="1"/>
  <c r="V277" i="70" s="1"/>
  <c r="V281" i="70" s="1"/>
  <c r="G257" i="70"/>
  <c r="G261" i="70"/>
  <c r="E30" i="70"/>
  <c r="E264" i="70" s="1"/>
  <c r="P30" i="70"/>
  <c r="P264" i="70" s="1"/>
  <c r="X30" i="70"/>
  <c r="X264" i="70" s="1"/>
  <c r="I28" i="70"/>
  <c r="G28" i="70"/>
  <c r="S263" i="70"/>
  <c r="T282" i="1"/>
  <c r="T297" i="1" s="1"/>
  <c r="T302" i="1" s="1"/>
  <c r="J263" i="70"/>
  <c r="W30" i="70"/>
  <c r="W264" i="70" s="1"/>
  <c r="I257" i="70"/>
  <c r="K261" i="70"/>
  <c r="K257" i="70"/>
  <c r="D30" i="70"/>
  <c r="D264" i="70" s="1"/>
  <c r="I55" i="70"/>
  <c r="L30" i="70"/>
  <c r="L264" i="70" s="1"/>
  <c r="T30" i="70"/>
  <c r="T264" i="70" s="1"/>
  <c r="K180" i="70"/>
  <c r="I254" i="70"/>
  <c r="K254" i="70"/>
  <c r="K23" i="70"/>
  <c r="G55" i="70"/>
  <c r="T263" i="70"/>
  <c r="G254" i="70"/>
  <c r="Q30" i="70"/>
  <c r="Q264" i="70" s="1"/>
  <c r="K55" i="70"/>
  <c r="E263" i="70"/>
  <c r="P263" i="70"/>
  <c r="X263" i="70"/>
  <c r="W263" i="70"/>
  <c r="G23" i="70"/>
  <c r="R30" i="70"/>
  <c r="R264" i="70" s="1"/>
  <c r="Q263" i="70"/>
  <c r="G180" i="70"/>
  <c r="I261" i="70"/>
  <c r="O263" i="70"/>
  <c r="F30" i="70"/>
  <c r="F264" i="70" s="1"/>
  <c r="H30" i="70"/>
  <c r="H264" i="70" s="1"/>
  <c r="F263" i="70"/>
  <c r="I23" i="70"/>
  <c r="I30" i="70" s="1"/>
  <c r="I264" i="70" s="1"/>
  <c r="J30" i="70"/>
  <c r="J264" i="70" s="1"/>
  <c r="S30" i="70"/>
  <c r="S264" i="70" s="1"/>
  <c r="K28" i="70"/>
  <c r="H263" i="70"/>
  <c r="R263" i="70"/>
  <c r="I180" i="70"/>
  <c r="D263" i="70"/>
  <c r="L263" i="70"/>
  <c r="S36" i="1"/>
  <c r="S60" i="1"/>
  <c r="N266" i="70"/>
  <c r="N277" i="70" s="1"/>
  <c r="N281" i="70" s="1"/>
  <c r="J266" i="70" l="1"/>
  <c r="J277" i="70" s="1"/>
  <c r="J281" i="70" s="1"/>
  <c r="X266" i="70"/>
  <c r="X277" i="70" s="1"/>
  <c r="X281" i="70" s="1"/>
  <c r="T266" i="70"/>
  <c r="T277" i="70" s="1"/>
  <c r="T281" i="70" s="1"/>
  <c r="M266" i="70"/>
  <c r="M277" i="70" s="1"/>
  <c r="M281" i="70" s="1"/>
  <c r="H266" i="70"/>
  <c r="H277" i="70" s="1"/>
  <c r="H281" i="70" s="1"/>
  <c r="K30" i="70"/>
  <c r="K264" i="70" s="1"/>
  <c r="O266" i="70"/>
  <c r="O277" i="70" s="1"/>
  <c r="O281" i="70" s="1"/>
  <c r="G30" i="70"/>
  <c r="G264" i="70" s="1"/>
  <c r="Q266" i="70"/>
  <c r="Q277" i="70" s="1"/>
  <c r="Q281" i="70" s="1"/>
  <c r="W266" i="70"/>
  <c r="W277" i="70" s="1"/>
  <c r="W281" i="70" s="1"/>
  <c r="G263" i="70"/>
  <c r="P266" i="70"/>
  <c r="P277" i="70" s="1"/>
  <c r="P281" i="70" s="1"/>
  <c r="E266" i="70"/>
  <c r="E277" i="70" s="1"/>
  <c r="E281" i="70" s="1"/>
  <c r="S266" i="70"/>
  <c r="S277" i="70" s="1"/>
  <c r="S281" i="70" s="1"/>
  <c r="F266" i="70"/>
  <c r="F277" i="70" s="1"/>
  <c r="F281" i="70" s="1"/>
  <c r="F270" i="70" s="1"/>
  <c r="F274" i="70" s="1"/>
  <c r="F286" i="70" s="1"/>
  <c r="F289" i="70" s="1"/>
  <c r="F293" i="70" s="1"/>
  <c r="L266" i="70"/>
  <c r="L277" i="70" s="1"/>
  <c r="L281" i="70" s="1"/>
  <c r="D266" i="70"/>
  <c r="D277" i="70" s="1"/>
  <c r="D281" i="70" s="1"/>
  <c r="D270" i="70" s="1"/>
  <c r="D274" i="70" s="1"/>
  <c r="D286" i="70" s="1"/>
  <c r="D289" i="70" s="1"/>
  <c r="D293" i="70" s="1"/>
  <c r="I263" i="70"/>
  <c r="I266" i="70" s="1"/>
  <c r="R266" i="70"/>
  <c r="R277" i="70" s="1"/>
  <c r="R281" i="70" s="1"/>
  <c r="K263" i="70"/>
  <c r="S74" i="1"/>
  <c r="S281" i="1" s="1"/>
  <c r="S282" i="1" s="1"/>
  <c r="S297" i="1" s="1"/>
  <c r="S302" i="1" s="1"/>
  <c r="P150" i="1"/>
  <c r="K266" i="70" l="1"/>
  <c r="G266" i="70"/>
  <c r="P293" i="1"/>
  <c r="P275" i="1" l="1"/>
  <c r="P274" i="1"/>
  <c r="P270" i="1"/>
  <c r="P269" i="1"/>
  <c r="P265" i="1"/>
  <c r="P261" i="1"/>
  <c r="P251" i="1"/>
  <c r="P235" i="1"/>
  <c r="P228" i="1" s="1"/>
  <c r="P220" i="1"/>
  <c r="P219" i="1"/>
  <c r="P218" i="1"/>
  <c r="P217" i="1"/>
  <c r="P216" i="1"/>
  <c r="P215" i="1"/>
  <c r="P213" i="1"/>
  <c r="P212" i="1"/>
  <c r="P211" i="1"/>
  <c r="P210" i="1"/>
  <c r="P209" i="1"/>
  <c r="P207" i="1"/>
  <c r="P206" i="1"/>
  <c r="P205" i="1"/>
  <c r="P204" i="1"/>
  <c r="P203" i="1"/>
  <c r="P196" i="1"/>
  <c r="P190" i="1"/>
  <c r="P189" i="1"/>
  <c r="P188" i="1"/>
  <c r="P187" i="1"/>
  <c r="P186" i="1"/>
  <c r="P185" i="1"/>
  <c r="P174" i="1"/>
  <c r="P168" i="1"/>
  <c r="P165" i="1"/>
  <c r="P164" i="1"/>
  <c r="P163" i="1"/>
  <c r="P162" i="1"/>
  <c r="P161" i="1"/>
  <c r="P153" i="1"/>
  <c r="P152" i="1"/>
  <c r="P151" i="1"/>
  <c r="P149" i="1"/>
  <c r="P141" i="1"/>
  <c r="P140" i="1"/>
  <c r="P139" i="1"/>
  <c r="P138" i="1"/>
  <c r="P137" i="1"/>
  <c r="P127" i="1"/>
  <c r="P117" i="1"/>
  <c r="P109" i="1"/>
  <c r="P102" i="1"/>
  <c r="P96" i="1"/>
  <c r="P89" i="1"/>
  <c r="P87" i="1"/>
  <c r="P93" i="1"/>
  <c r="P92" i="1"/>
  <c r="P91" i="1"/>
  <c r="P90" i="1"/>
  <c r="P82" i="1"/>
  <c r="P79" i="1" s="1"/>
  <c r="P86" i="1" l="1"/>
  <c r="P184" i="1"/>
  <c r="P250" i="1"/>
  <c r="P208" i="1"/>
  <c r="P148" i="1"/>
  <c r="P144" i="1" s="1"/>
  <c r="P88" i="1"/>
  <c r="P136" i="1"/>
  <c r="P132" i="1" s="1"/>
  <c r="P214" i="1"/>
  <c r="P202" i="1"/>
  <c r="P160" i="1"/>
  <c r="P156" i="1" s="1"/>
  <c r="P78" i="1" l="1"/>
  <c r="P183" i="1"/>
  <c r="P61" i="1"/>
  <c r="L8" i="66"/>
  <c r="P42" i="1" s="1"/>
  <c r="L23" i="66"/>
  <c r="J23" i="65"/>
  <c r="J8" i="65"/>
  <c r="J23" i="64"/>
  <c r="J8" i="64"/>
  <c r="J8" i="63"/>
  <c r="P39" i="1" s="1"/>
  <c r="J23" i="63"/>
  <c r="J25" i="64" l="1"/>
  <c r="P41" i="1"/>
  <c r="J25" i="65"/>
  <c r="P40" i="1"/>
  <c r="L8" i="69"/>
  <c r="L23" i="69"/>
  <c r="R51" i="66"/>
  <c r="R52" i="66"/>
  <c r="R53" i="66"/>
  <c r="R54" i="66"/>
  <c r="Y33" i="67"/>
  <c r="W198" i="67"/>
  <c r="W175" i="67"/>
  <c r="U164" i="67"/>
  <c r="X154" i="67"/>
  <c r="Y129" i="67"/>
  <c r="Y106" i="67"/>
  <c r="Y105" i="67"/>
  <c r="X95" i="67"/>
  <c r="V75" i="67"/>
  <c r="U75" i="67"/>
  <c r="W57" i="67"/>
  <c r="W56" i="67"/>
  <c r="W49" i="67"/>
  <c r="V40" i="67"/>
  <c r="V36" i="67"/>
  <c r="U36" i="67"/>
  <c r="V33" i="67"/>
  <c r="U33" i="67"/>
  <c r="P38" i="1" l="1"/>
  <c r="P37" i="1" s="1"/>
  <c r="W36" i="67"/>
  <c r="W33" i="67"/>
  <c r="W75" i="67"/>
  <c r="T261" i="67"/>
  <c r="T257" i="67"/>
  <c r="T254" i="67"/>
  <c r="T180" i="67"/>
  <c r="T55" i="67"/>
  <c r="T28" i="67"/>
  <c r="T23" i="67"/>
  <c r="T263" i="67" l="1"/>
  <c r="T30" i="67"/>
  <c r="T264" i="67" s="1"/>
  <c r="T266" i="67" s="1"/>
  <c r="M19" i="4"/>
  <c r="R83" i="66"/>
  <c r="R84" i="66"/>
  <c r="R85" i="66"/>
  <c r="R86" i="66"/>
  <c r="R87" i="66"/>
  <c r="R88" i="66"/>
  <c r="AF54" i="65"/>
  <c r="AF55" i="65"/>
  <c r="AF57" i="65"/>
  <c r="AF58" i="65"/>
  <c r="AF59" i="65"/>
  <c r="AF60" i="65"/>
  <c r="AF61" i="65"/>
  <c r="AF62" i="65"/>
  <c r="AF63" i="65"/>
  <c r="AF64" i="65"/>
  <c r="AF65" i="65"/>
  <c r="AF56" i="65"/>
  <c r="AF62" i="66"/>
  <c r="AF63" i="66"/>
  <c r="AF65" i="66"/>
  <c r="AF66" i="66"/>
  <c r="AF67" i="66"/>
  <c r="AF68" i="66"/>
  <c r="AF69" i="66"/>
  <c r="AF70" i="66"/>
  <c r="AF71" i="66"/>
  <c r="AF72" i="66"/>
  <c r="AF73" i="66"/>
  <c r="AF64" i="66"/>
  <c r="AE74" i="66"/>
  <c r="J16" i="66" s="1"/>
  <c r="R88" i="63"/>
  <c r="R89" i="63"/>
  <c r="R90" i="63"/>
  <c r="R91" i="63"/>
  <c r="R92" i="63"/>
  <c r="AF64" i="63"/>
  <c r="AF65" i="63"/>
  <c r="AF67" i="63"/>
  <c r="AF68" i="63"/>
  <c r="AF69" i="63"/>
  <c r="AF70" i="63"/>
  <c r="AF71" i="63"/>
  <c r="AF72" i="63"/>
  <c r="AF73" i="63"/>
  <c r="AF74" i="63"/>
  <c r="AF75" i="63"/>
  <c r="AF66" i="63"/>
  <c r="AE76" i="63" l="1"/>
  <c r="H16" i="63" s="1"/>
  <c r="AC37" i="65"/>
  <c r="AE66" i="65"/>
  <c r="H16" i="65" s="1"/>
  <c r="AE62" i="64"/>
  <c r="H16" i="64" s="1"/>
  <c r="V75" i="64"/>
  <c r="V73" i="64"/>
  <c r="V72" i="64"/>
  <c r="V70" i="64"/>
  <c r="V69" i="64"/>
  <c r="AC42" i="64"/>
  <c r="AC36" i="64"/>
  <c r="X41" i="64"/>
  <c r="W41" i="64"/>
  <c r="X40" i="64"/>
  <c r="W40" i="64"/>
  <c r="X39" i="64"/>
  <c r="W39" i="64"/>
  <c r="X38" i="64"/>
  <c r="W38" i="64"/>
  <c r="AB37" i="64"/>
  <c r="X37" i="64"/>
  <c r="W37" i="64"/>
  <c r="D67" i="3"/>
  <c r="D66" i="3"/>
  <c r="D65" i="3"/>
  <c r="D64" i="3"/>
  <c r="F60" i="3"/>
  <c r="E60" i="3"/>
  <c r="D60" i="3"/>
  <c r="G59" i="3"/>
  <c r="G58" i="3"/>
  <c r="G57" i="3"/>
  <c r="AC40" i="64" l="1"/>
  <c r="AC38" i="64"/>
  <c r="AC37" i="64"/>
  <c r="AC39" i="64"/>
  <c r="D61" i="3"/>
  <c r="AC41" i="64"/>
  <c r="G60" i="3"/>
  <c r="D69" i="3"/>
  <c r="D71" i="3" s="1"/>
  <c r="D75" i="3" s="1"/>
  <c r="T84" i="69" l="1"/>
  <c r="L84" i="69"/>
  <c r="L83" i="69"/>
  <c r="T82" i="69"/>
  <c r="L82" i="69"/>
  <c r="L81" i="69"/>
  <c r="T80" i="69"/>
  <c r="L80" i="69"/>
  <c r="T79" i="69"/>
  <c r="L79" i="69"/>
  <c r="T78" i="69"/>
  <c r="L78" i="69"/>
  <c r="L77" i="69"/>
  <c r="L76" i="69"/>
  <c r="T75" i="69"/>
  <c r="L75" i="69"/>
  <c r="T74" i="69"/>
  <c r="L74" i="69"/>
  <c r="T73" i="69"/>
  <c r="L73" i="69"/>
  <c r="T72" i="69"/>
  <c r="L72" i="69"/>
  <c r="T71" i="69"/>
  <c r="L71" i="69"/>
  <c r="T70" i="69"/>
  <c r="L70" i="69"/>
  <c r="T69" i="69"/>
  <c r="L69" i="69"/>
  <c r="T68" i="69"/>
  <c r="L68" i="69"/>
  <c r="AE62" i="69"/>
  <c r="J16" i="69" s="1"/>
  <c r="AD62" i="69"/>
  <c r="J22" i="69" s="1"/>
  <c r="AC62" i="69"/>
  <c r="J21" i="69" s="1"/>
  <c r="AB62" i="69"/>
  <c r="H20" i="69" s="1"/>
  <c r="AA62" i="69"/>
  <c r="H19" i="69" s="1"/>
  <c r="Z62" i="69"/>
  <c r="H18" i="69" s="1"/>
  <c r="Y62" i="69"/>
  <c r="X62" i="69"/>
  <c r="W62" i="69"/>
  <c r="V62" i="69"/>
  <c r="U62" i="69"/>
  <c r="T62" i="69"/>
  <c r="AF61" i="69"/>
  <c r="AF60" i="69"/>
  <c r="AF59" i="69"/>
  <c r="AF58" i="69"/>
  <c r="AF57" i="69"/>
  <c r="AF56" i="69"/>
  <c r="AF55" i="69"/>
  <c r="AF54" i="69"/>
  <c r="AF53" i="69"/>
  <c r="AF52" i="69"/>
  <c r="AF51" i="69"/>
  <c r="Y45" i="69"/>
  <c r="X45" i="69"/>
  <c r="V45" i="69"/>
  <c r="J17" i="69" s="1"/>
  <c r="T45" i="69"/>
  <c r="J15" i="69" s="1"/>
  <c r="S45" i="69"/>
  <c r="J7" i="69" s="1"/>
  <c r="R45" i="69"/>
  <c r="Q45" i="69"/>
  <c r="J5" i="69" s="1"/>
  <c r="Z44" i="69"/>
  <c r="Z43" i="69"/>
  <c r="Z42" i="69"/>
  <c r="Z41" i="69"/>
  <c r="Z40" i="69"/>
  <c r="Z39" i="69"/>
  <c r="Z38" i="69"/>
  <c r="W37" i="69"/>
  <c r="W45" i="69" s="1"/>
  <c r="U37" i="69"/>
  <c r="Z36" i="69"/>
  <c r="I23" i="69"/>
  <c r="K17" i="69"/>
  <c r="K16" i="69"/>
  <c r="K15" i="69"/>
  <c r="K10" i="69"/>
  <c r="J10" i="69"/>
  <c r="K8" i="69"/>
  <c r="I8" i="69"/>
  <c r="R36" i="65"/>
  <c r="R37" i="65"/>
  <c r="R44" i="65"/>
  <c r="AC44" i="65"/>
  <c r="R37" i="64"/>
  <c r="R38" i="64"/>
  <c r="R39" i="64"/>
  <c r="R40" i="64"/>
  <c r="R41" i="64"/>
  <c r="R42" i="64"/>
  <c r="N9" i="1"/>
  <c r="N8" i="1"/>
  <c r="O197" i="1" l="1"/>
  <c r="O185" i="1"/>
  <c r="O191" i="1"/>
  <c r="R83" i="69"/>
  <c r="R85" i="69" s="1"/>
  <c r="J13" i="69" s="1"/>
  <c r="G83" i="69"/>
  <c r="G85" i="69" s="1"/>
  <c r="H13" i="69" s="1"/>
  <c r="P83" i="69"/>
  <c r="P85" i="69" s="1"/>
  <c r="J11" i="69" s="1"/>
  <c r="E83" i="69"/>
  <c r="G25" i="69"/>
  <c r="S83" i="69"/>
  <c r="S85" i="69" s="1"/>
  <c r="J14" i="69" s="1"/>
  <c r="H83" i="69"/>
  <c r="H85" i="69" s="1"/>
  <c r="H14" i="69" s="1"/>
  <c r="Q83" i="69"/>
  <c r="Q85" i="69" s="1"/>
  <c r="J12" i="69" s="1"/>
  <c r="F83" i="69"/>
  <c r="F85" i="69" s="1"/>
  <c r="H12" i="69" s="1"/>
  <c r="J6" i="69"/>
  <c r="J8" i="69" s="1"/>
  <c r="Z37" i="69"/>
  <c r="Z45" i="69" s="1"/>
  <c r="N7" i="1"/>
  <c r="J20" i="69"/>
  <c r="K23" i="69"/>
  <c r="I25" i="69" s="1"/>
  <c r="J19" i="69"/>
  <c r="J18" i="69"/>
  <c r="U45" i="69"/>
  <c r="AF62" i="69"/>
  <c r="T83" i="69" l="1"/>
  <c r="T85" i="69" s="1"/>
  <c r="J23" i="69"/>
  <c r="H25" i="69" s="1"/>
  <c r="E85" i="69"/>
  <c r="H11" i="69" s="1"/>
  <c r="H23" i="69" s="1"/>
  <c r="F25" i="69" s="1"/>
  <c r="I83" i="69"/>
  <c r="I85" i="69" s="1"/>
  <c r="O274" i="1"/>
  <c r="O269" i="1"/>
  <c r="N274" i="1"/>
  <c r="N261" i="1"/>
  <c r="P245" i="1" l="1"/>
  <c r="P244" i="1"/>
  <c r="P241" i="1"/>
  <c r="P239" i="1"/>
  <c r="F254" i="67"/>
  <c r="F180" i="67"/>
  <c r="F55" i="67"/>
  <c r="G2" i="2"/>
  <c r="G291" i="67"/>
  <c r="F291" i="67"/>
  <c r="D291" i="67"/>
  <c r="C291" i="67"/>
  <c r="G288" i="67"/>
  <c r="G289" i="67" s="1"/>
  <c r="F288" i="67"/>
  <c r="D288" i="67"/>
  <c r="C288" i="67"/>
  <c r="T274" i="67"/>
  <c r="S274" i="67"/>
  <c r="R274" i="67"/>
  <c r="Q274" i="67"/>
  <c r="P274" i="67"/>
  <c r="O274" i="67"/>
  <c r="N274" i="67"/>
  <c r="M274" i="67"/>
  <c r="L274" i="67"/>
  <c r="K274" i="67"/>
  <c r="J274" i="67"/>
  <c r="I274" i="67"/>
  <c r="H274" i="67"/>
  <c r="G274" i="67"/>
  <c r="E274" i="67"/>
  <c r="S261" i="67"/>
  <c r="R261" i="67"/>
  <c r="Q261" i="67"/>
  <c r="P261" i="67"/>
  <c r="O261" i="67"/>
  <c r="N261" i="67"/>
  <c r="M261" i="67"/>
  <c r="L261" i="67"/>
  <c r="K261" i="67"/>
  <c r="J261" i="67"/>
  <c r="I261" i="67"/>
  <c r="H261" i="67"/>
  <c r="G261" i="67"/>
  <c r="F261" i="67"/>
  <c r="E261" i="67"/>
  <c r="D261" i="67"/>
  <c r="C261" i="67"/>
  <c r="S257" i="67"/>
  <c r="R257" i="67"/>
  <c r="Q257" i="67"/>
  <c r="P257" i="67"/>
  <c r="O257" i="67"/>
  <c r="N257" i="67"/>
  <c r="M257" i="67"/>
  <c r="L257" i="67"/>
  <c r="K257" i="67"/>
  <c r="J257" i="67"/>
  <c r="I257" i="67"/>
  <c r="H257" i="67"/>
  <c r="G257" i="67"/>
  <c r="F257" i="67"/>
  <c r="E257" i="67"/>
  <c r="D257" i="67"/>
  <c r="C257" i="67"/>
  <c r="S254" i="67"/>
  <c r="R254" i="67"/>
  <c r="Q254" i="67"/>
  <c r="P254" i="67"/>
  <c r="O254" i="67"/>
  <c r="N254" i="67"/>
  <c r="M254" i="67"/>
  <c r="L254" i="67"/>
  <c r="K254" i="67"/>
  <c r="J254" i="67"/>
  <c r="I254" i="67"/>
  <c r="H254" i="67"/>
  <c r="G254" i="67"/>
  <c r="E254" i="67"/>
  <c r="D254" i="67"/>
  <c r="C254" i="67"/>
  <c r="S180" i="67"/>
  <c r="R180" i="67"/>
  <c r="Q180" i="67"/>
  <c r="P180" i="67"/>
  <c r="O180" i="67"/>
  <c r="N180" i="67"/>
  <c r="M180" i="67"/>
  <c r="L180" i="67"/>
  <c r="K180" i="67"/>
  <c r="J180" i="67"/>
  <c r="I180" i="67"/>
  <c r="H180" i="67"/>
  <c r="G180" i="67"/>
  <c r="E180" i="67"/>
  <c r="D180" i="67"/>
  <c r="C180" i="67"/>
  <c r="S55" i="67"/>
  <c r="R55" i="67"/>
  <c r="Q55" i="67"/>
  <c r="P55" i="67"/>
  <c r="O55" i="67"/>
  <c r="N55" i="67"/>
  <c r="M55" i="67"/>
  <c r="L55" i="67"/>
  <c r="K55" i="67"/>
  <c r="J55" i="67"/>
  <c r="I55" i="67"/>
  <c r="H55" i="67"/>
  <c r="G55" i="67"/>
  <c r="E55" i="67"/>
  <c r="D55" i="67"/>
  <c r="C55" i="67"/>
  <c r="S28" i="67"/>
  <c r="R28" i="67"/>
  <c r="Q28" i="67"/>
  <c r="P28" i="67"/>
  <c r="O28" i="67"/>
  <c r="N28" i="67"/>
  <c r="M28" i="67"/>
  <c r="L28" i="67"/>
  <c r="K28" i="67"/>
  <c r="J28" i="67"/>
  <c r="I28" i="67"/>
  <c r="H28" i="67"/>
  <c r="G28" i="67"/>
  <c r="F28" i="67"/>
  <c r="E28" i="67"/>
  <c r="D28" i="67"/>
  <c r="C28" i="67"/>
  <c r="S23" i="67"/>
  <c r="R23" i="67"/>
  <c r="Q23" i="67"/>
  <c r="P23" i="67"/>
  <c r="O23" i="67"/>
  <c r="N23" i="67"/>
  <c r="M23" i="67"/>
  <c r="L23" i="67"/>
  <c r="K23" i="67"/>
  <c r="J23" i="67"/>
  <c r="I23" i="67"/>
  <c r="H23" i="67"/>
  <c r="H30" i="67" s="1"/>
  <c r="H264" i="67" s="1"/>
  <c r="G23" i="67"/>
  <c r="G30" i="67" s="1"/>
  <c r="G264" i="67" s="1"/>
  <c r="F23" i="67"/>
  <c r="E23" i="67"/>
  <c r="D23" i="67"/>
  <c r="C23" i="67"/>
  <c r="J30" i="67" l="1"/>
  <c r="J264" i="67" s="1"/>
  <c r="I30" i="67"/>
  <c r="I264" i="67" s="1"/>
  <c r="Q30" i="67"/>
  <c r="Q264" i="67" s="1"/>
  <c r="H263" i="67"/>
  <c r="H266" i="67" s="1"/>
  <c r="H277" i="67" s="1"/>
  <c r="H281" i="67" s="1"/>
  <c r="M263" i="67"/>
  <c r="P238" i="1"/>
  <c r="P116" i="1" s="1"/>
  <c r="P280" i="1" s="1"/>
  <c r="G263" i="67"/>
  <c r="G266" i="67" s="1"/>
  <c r="G277" i="67" s="1"/>
  <c r="G281" i="67" s="1"/>
  <c r="K263" i="67"/>
  <c r="E30" i="67"/>
  <c r="E264" i="67" s="1"/>
  <c r="S263" i="67"/>
  <c r="L263" i="67"/>
  <c r="N263" i="67"/>
  <c r="F263" i="67"/>
  <c r="I263" i="67"/>
  <c r="I266" i="67" s="1"/>
  <c r="I277" i="67" s="1"/>
  <c r="I281" i="67" s="1"/>
  <c r="S30" i="67"/>
  <c r="S264" i="67" s="1"/>
  <c r="O81" i="1"/>
  <c r="M30" i="67"/>
  <c r="M264" i="67" s="1"/>
  <c r="M266" i="67" s="1"/>
  <c r="M277" i="67" s="1"/>
  <c r="M281" i="67" s="1"/>
  <c r="K30" i="67"/>
  <c r="K264" i="67" s="1"/>
  <c r="D263" i="67"/>
  <c r="P263" i="67"/>
  <c r="G293" i="67"/>
  <c r="E263" i="67"/>
  <c r="Q263" i="67"/>
  <c r="F30" i="67"/>
  <c r="F264" i="67" s="1"/>
  <c r="R30" i="67"/>
  <c r="R264" i="67" s="1"/>
  <c r="R263" i="67"/>
  <c r="O80" i="1"/>
  <c r="J263" i="67"/>
  <c r="L30" i="67"/>
  <c r="L264" i="67" s="1"/>
  <c r="C30" i="67"/>
  <c r="C264" i="67" s="1"/>
  <c r="O30" i="67"/>
  <c r="O264" i="67" s="1"/>
  <c r="N30" i="67"/>
  <c r="N264" i="67" s="1"/>
  <c r="D30" i="67"/>
  <c r="D264" i="67" s="1"/>
  <c r="P30" i="67"/>
  <c r="P264" i="67" s="1"/>
  <c r="C263" i="67"/>
  <c r="O263" i="67"/>
  <c r="T277" i="67"/>
  <c r="T281" i="67" s="1"/>
  <c r="N168" i="1"/>
  <c r="Q266" i="67" l="1"/>
  <c r="Q277" i="67" s="1"/>
  <c r="Q281" i="67" s="1"/>
  <c r="S266" i="67"/>
  <c r="S277" i="67" s="1"/>
  <c r="S281" i="67" s="1"/>
  <c r="J266" i="67"/>
  <c r="J277" i="67" s="1"/>
  <c r="J281" i="67" s="1"/>
  <c r="N266" i="67"/>
  <c r="N277" i="67" s="1"/>
  <c r="N281" i="67" s="1"/>
  <c r="K266" i="67"/>
  <c r="K277" i="67" s="1"/>
  <c r="K281" i="67" s="1"/>
  <c r="D266" i="67"/>
  <c r="D277" i="67" s="1"/>
  <c r="D281" i="67" s="1"/>
  <c r="D286" i="67" s="1"/>
  <c r="D289" i="67" s="1"/>
  <c r="D293" i="67" s="1"/>
  <c r="L266" i="67"/>
  <c r="L277" i="67" s="1"/>
  <c r="L281" i="67" s="1"/>
  <c r="E266" i="67"/>
  <c r="E277" i="67" s="1"/>
  <c r="E281" i="67" s="1"/>
  <c r="R266" i="67"/>
  <c r="R277" i="67" s="1"/>
  <c r="R281" i="67" s="1"/>
  <c r="F266" i="67"/>
  <c r="F277" i="67" s="1"/>
  <c r="F281" i="67" s="1"/>
  <c r="F270" i="67" s="1"/>
  <c r="F274" i="67" s="1"/>
  <c r="F286" i="67" s="1"/>
  <c r="F289" i="67" s="1"/>
  <c r="F293" i="67" s="1"/>
  <c r="P266" i="67"/>
  <c r="P277" i="67" s="1"/>
  <c r="P281" i="67" s="1"/>
  <c r="O266" i="67"/>
  <c r="O277" i="67" s="1"/>
  <c r="O281" i="67" s="1"/>
  <c r="C266" i="67"/>
  <c r="C277" i="67" s="1"/>
  <c r="C281" i="67" s="1"/>
  <c r="C270" i="67" s="1"/>
  <c r="C274" i="67" s="1"/>
  <c r="C286" i="67" s="1"/>
  <c r="C289" i="67" s="1"/>
  <c r="C293" i="67" s="1"/>
  <c r="M110" i="2"/>
  <c r="M111" i="2"/>
  <c r="M112" i="2"/>
  <c r="M113" i="2"/>
  <c r="M109" i="2"/>
  <c r="M105" i="2"/>
  <c r="M104" i="2"/>
  <c r="M100" i="2"/>
  <c r="M99" i="2"/>
  <c r="M95" i="2"/>
  <c r="M94" i="2"/>
  <c r="M90" i="2"/>
  <c r="M63" i="2"/>
  <c r="M62" i="2"/>
  <c r="M56" i="2"/>
  <c r="M57" i="2"/>
  <c r="M58" i="2"/>
  <c r="M35" i="2"/>
  <c r="M36" i="2"/>
  <c r="M37" i="2"/>
  <c r="M38" i="2"/>
  <c r="M39" i="2"/>
  <c r="M40" i="2"/>
  <c r="M41" i="2"/>
  <c r="M42" i="2"/>
  <c r="M43" i="2"/>
  <c r="M44" i="2"/>
  <c r="M45" i="2"/>
  <c r="M46" i="2"/>
  <c r="M47" i="2"/>
  <c r="M48" i="2"/>
  <c r="M50" i="2"/>
  <c r="M26" i="2"/>
  <c r="M19" i="2"/>
  <c r="M20" i="2"/>
  <c r="M21" i="2"/>
  <c r="M22" i="2"/>
  <c r="M18" i="2"/>
  <c r="M11" i="2"/>
  <c r="M12" i="2"/>
  <c r="M13" i="2"/>
  <c r="M10" i="2"/>
  <c r="M88" i="2"/>
  <c r="M73" i="2"/>
  <c r="M72" i="2"/>
  <c r="D270" i="67" l="1"/>
  <c r="D274" i="67" s="1"/>
  <c r="O251" i="1"/>
  <c r="N109" i="1"/>
  <c r="AC37" i="63" l="1"/>
  <c r="AC38" i="63"/>
  <c r="AC39" i="63"/>
  <c r="AC40" i="63"/>
  <c r="AC41" i="63"/>
  <c r="AC42" i="63"/>
  <c r="AC43" i="63"/>
  <c r="AC44" i="63"/>
  <c r="AC45" i="63"/>
  <c r="AC46" i="63"/>
  <c r="AC47" i="63"/>
  <c r="AC48" i="63"/>
  <c r="AC49" i="63"/>
  <c r="AC50" i="63"/>
  <c r="AC51" i="63"/>
  <c r="AC52" i="63"/>
  <c r="AC53" i="63"/>
  <c r="AC54" i="63"/>
  <c r="AC55" i="63"/>
  <c r="AC56" i="63"/>
  <c r="AC36" i="63"/>
  <c r="Z83" i="63"/>
  <c r="Z84" i="63"/>
  <c r="Z85" i="63"/>
  <c r="Z86" i="63"/>
  <c r="Z87" i="63"/>
  <c r="Z88" i="63"/>
  <c r="Z89" i="63"/>
  <c r="Z90" i="63"/>
  <c r="AC46" i="66" l="1"/>
  <c r="AC47" i="66"/>
  <c r="AC48" i="66"/>
  <c r="AC49" i="66"/>
  <c r="AC50" i="66"/>
  <c r="AC51" i="66"/>
  <c r="AC52" i="66"/>
  <c r="AC53" i="66"/>
  <c r="AC54" i="66"/>
  <c r="AC45" i="66"/>
  <c r="R45" i="65" l="1"/>
  <c r="R46" i="65"/>
  <c r="AC39" i="65"/>
  <c r="AC40" i="65"/>
  <c r="AC41" i="65"/>
  <c r="AC42" i="65"/>
  <c r="AC43" i="65"/>
  <c r="AC45" i="65"/>
  <c r="AC46" i="65"/>
  <c r="AC38" i="65"/>
  <c r="Z76" i="65"/>
  <c r="Z77" i="65"/>
  <c r="O309" i="1"/>
  <c r="O307" i="1"/>
  <c r="O308" i="1" s="1"/>
  <c r="O293" i="1"/>
  <c r="O302" i="1"/>
  <c r="O310" i="1" l="1"/>
  <c r="N238" i="1" l="1"/>
  <c r="O238" i="1"/>
  <c r="Z72" i="64"/>
  <c r="Z73" i="64"/>
  <c r="Z74" i="64"/>
  <c r="Z75" i="64"/>
  <c r="R71" i="63" l="1"/>
  <c r="R72" i="63"/>
  <c r="R73" i="63"/>
  <c r="R74" i="63"/>
  <c r="R75" i="63"/>
  <c r="R46" i="63"/>
  <c r="R47" i="63"/>
  <c r="R48" i="63"/>
  <c r="R49" i="63"/>
  <c r="R50" i="63"/>
  <c r="R51" i="63"/>
  <c r="R52" i="63"/>
  <c r="R53" i="63"/>
  <c r="R54" i="63"/>
  <c r="R55" i="63"/>
  <c r="R56" i="63"/>
  <c r="D14" i="49" l="1"/>
  <c r="K2" i="2"/>
  <c r="I2" i="2"/>
  <c r="E2" i="2"/>
  <c r="C2" i="2"/>
  <c r="B2" i="2"/>
  <c r="F2" i="2"/>
  <c r="D2" i="2"/>
  <c r="H2" i="2"/>
  <c r="D27" i="49" l="1"/>
  <c r="H20" i="49"/>
  <c r="I17" i="65" l="1"/>
  <c r="I15" i="65"/>
  <c r="I16" i="65"/>
  <c r="M55" i="2" l="1"/>
  <c r="B236" i="1"/>
  <c r="L114" i="2" l="1"/>
  <c r="L106" i="2"/>
  <c r="L101" i="2"/>
  <c r="L96" i="2"/>
  <c r="L91" i="2"/>
  <c r="L74" i="2"/>
  <c r="L69" i="2"/>
  <c r="L64" i="2"/>
  <c r="L59" i="2"/>
  <c r="L51" i="2"/>
  <c r="M51" i="2" s="1"/>
  <c r="L23" i="2"/>
  <c r="L15" i="2"/>
  <c r="O141" i="1"/>
  <c r="L118" i="2" l="1"/>
  <c r="L4" i="2" s="1"/>
  <c r="O168" i="1"/>
  <c r="O109" i="1"/>
  <c r="N100" i="1"/>
  <c r="N99" i="1"/>
  <c r="N98" i="1"/>
  <c r="N97" i="1"/>
  <c r="P5" i="3"/>
  <c r="N5" i="3"/>
  <c r="O4" i="3"/>
  <c r="O5" i="3" s="1"/>
  <c r="E83" i="3"/>
  <c r="N105" i="1"/>
  <c r="N104" i="1"/>
  <c r="N103" i="1"/>
  <c r="N84" i="1"/>
  <c r="O84" i="1"/>
  <c r="O79" i="1" s="1"/>
  <c r="H7" i="49"/>
  <c r="H5" i="49"/>
  <c r="H4" i="49"/>
  <c r="R2" i="2"/>
  <c r="Q2" i="2"/>
  <c r="P2" i="2"/>
  <c r="O2" i="2"/>
  <c r="N2" i="2"/>
  <c r="J2" i="2"/>
  <c r="R13" i="62"/>
  <c r="O37" i="4"/>
  <c r="M37" i="4"/>
  <c r="N267" i="1" s="1"/>
  <c r="N265" i="1" s="1"/>
  <c r="O28" i="4"/>
  <c r="M28" i="4"/>
  <c r="N130" i="1" s="1"/>
  <c r="O19" i="4"/>
  <c r="N129" i="1"/>
  <c r="O10" i="4"/>
  <c r="M10" i="4"/>
  <c r="N128" i="1" s="1"/>
  <c r="N93" i="1"/>
  <c r="N92" i="1"/>
  <c r="N91" i="1"/>
  <c r="N90" i="1"/>
  <c r="N153" i="1"/>
  <c r="N152" i="1"/>
  <c r="N151" i="1"/>
  <c r="N150" i="1"/>
  <c r="L220" i="1"/>
  <c r="L214" i="1"/>
  <c r="L208" i="1"/>
  <c r="L202" i="1"/>
  <c r="L196" i="1"/>
  <c r="L190" i="1"/>
  <c r="L184" i="1"/>
  <c r="I23" i="66"/>
  <c r="I8" i="66"/>
  <c r="J10" i="66"/>
  <c r="G8" i="65"/>
  <c r="G23" i="65"/>
  <c r="H10" i="65"/>
  <c r="G8" i="63"/>
  <c r="G8" i="64"/>
  <c r="G23" i="64"/>
  <c r="H10" i="64"/>
  <c r="G23" i="63"/>
  <c r="H10" i="63"/>
  <c r="N61" i="1"/>
  <c r="N66" i="1"/>
  <c r="N70" i="1"/>
  <c r="N87" i="1"/>
  <c r="N269" i="1"/>
  <c r="N270" i="1"/>
  <c r="N275" i="1"/>
  <c r="B39" i="1"/>
  <c r="B40" i="1"/>
  <c r="B41" i="1"/>
  <c r="B42" i="1"/>
  <c r="B43" i="1"/>
  <c r="B44" i="1"/>
  <c r="B45" i="1"/>
  <c r="B46" i="1"/>
  <c r="B47" i="1"/>
  <c r="B48" i="1"/>
  <c r="B49" i="1"/>
  <c r="B50" i="1"/>
  <c r="B51" i="1"/>
  <c r="B52" i="1"/>
  <c r="B53" i="1"/>
  <c r="B54" i="1"/>
  <c r="B55" i="1"/>
  <c r="B56" i="1"/>
  <c r="B57" i="1"/>
  <c r="B58" i="1"/>
  <c r="B59" i="1"/>
  <c r="B60" i="1"/>
  <c r="B61" i="1"/>
  <c r="B62" i="1"/>
  <c r="B64" i="1"/>
  <c r="B65" i="1"/>
  <c r="B66"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G25" i="63" l="1"/>
  <c r="N148" i="1"/>
  <c r="G25" i="64"/>
  <c r="L183" i="1"/>
  <c r="L160" i="1"/>
  <c r="L37" i="1"/>
  <c r="L36" i="1" s="1"/>
  <c r="R24" i="62"/>
  <c r="N228" i="1" s="1"/>
  <c r="K22" i="62"/>
  <c r="K24" i="62" s="1"/>
  <c r="L231" i="1" s="1"/>
  <c r="L228" i="1" s="1"/>
  <c r="F25" i="65"/>
  <c r="N37" i="1"/>
  <c r="N127" i="1"/>
  <c r="N96" i="1"/>
  <c r="N160" i="1"/>
  <c r="I6" i="49"/>
  <c r="N80" i="1"/>
  <c r="N60" i="1"/>
  <c r="N106" i="1"/>
  <c r="N102" i="1" s="1"/>
  <c r="M2" i="2"/>
  <c r="N51" i="1"/>
  <c r="N44" i="1"/>
  <c r="N88" i="1"/>
  <c r="N86" i="1"/>
  <c r="N183" i="1" l="1"/>
  <c r="N36" i="1"/>
  <c r="T38" i="4" l="1"/>
  <c r="R38" i="4"/>
  <c r="R81" i="66"/>
  <c r="R82" i="66"/>
  <c r="R63" i="66"/>
  <c r="R64" i="66"/>
  <c r="R65" i="66"/>
  <c r="R66" i="66"/>
  <c r="R67" i="66"/>
  <c r="R68" i="66"/>
  <c r="R69" i="66"/>
  <c r="R70" i="66"/>
  <c r="R71" i="66"/>
  <c r="R72" i="66"/>
  <c r="R73" i="66"/>
  <c r="R46" i="66"/>
  <c r="R47" i="66"/>
  <c r="R48" i="66"/>
  <c r="R49" i="66"/>
  <c r="R50" i="66"/>
  <c r="R39" i="65"/>
  <c r="R40" i="65"/>
  <c r="R41" i="65"/>
  <c r="R42" i="65"/>
  <c r="R43" i="65"/>
  <c r="R55" i="65"/>
  <c r="R56" i="65"/>
  <c r="R57" i="65"/>
  <c r="R58" i="65"/>
  <c r="R59" i="65"/>
  <c r="R60" i="65"/>
  <c r="R61" i="65"/>
  <c r="R62" i="65"/>
  <c r="R63" i="65"/>
  <c r="R64" i="65"/>
  <c r="R65" i="65"/>
  <c r="R73" i="65"/>
  <c r="R74" i="65"/>
  <c r="R75" i="65"/>
  <c r="R76" i="65"/>
  <c r="R77" i="65"/>
  <c r="R78" i="65"/>
  <c r="R79" i="65"/>
  <c r="R80" i="65"/>
  <c r="R81" i="65"/>
  <c r="R82" i="65"/>
  <c r="R83" i="65"/>
  <c r="R84" i="65"/>
  <c r="R85" i="65"/>
  <c r="R86" i="65"/>
  <c r="R87" i="65"/>
  <c r="R88" i="65"/>
  <c r="R69" i="64"/>
  <c r="R70" i="64"/>
  <c r="R71" i="64"/>
  <c r="R72" i="64"/>
  <c r="R73" i="64"/>
  <c r="R74" i="64"/>
  <c r="R75" i="64"/>
  <c r="R76" i="64"/>
  <c r="R77" i="64"/>
  <c r="R78" i="64"/>
  <c r="R79" i="64"/>
  <c r="R80" i="64"/>
  <c r="R81" i="64"/>
  <c r="R82" i="64"/>
  <c r="R83" i="64"/>
  <c r="R84" i="64"/>
  <c r="R51" i="64"/>
  <c r="R52" i="64"/>
  <c r="R53" i="64"/>
  <c r="R54" i="64"/>
  <c r="R55" i="64"/>
  <c r="R56" i="64"/>
  <c r="R57" i="64"/>
  <c r="R58" i="64"/>
  <c r="R59" i="64"/>
  <c r="R60" i="64"/>
  <c r="R61" i="64"/>
  <c r="R45" i="63"/>
  <c r="I8" i="64"/>
  <c r="I10" i="64"/>
  <c r="I23" i="64" s="1"/>
  <c r="R36" i="64"/>
  <c r="T44" i="64"/>
  <c r="H5" i="64" s="1"/>
  <c r="U44" i="64"/>
  <c r="V44" i="64"/>
  <c r="W44" i="64"/>
  <c r="H15" i="64" s="1"/>
  <c r="X44" i="64"/>
  <c r="Y44" i="64"/>
  <c r="H17" i="64" s="1"/>
  <c r="Z44" i="64"/>
  <c r="AA44" i="64"/>
  <c r="AB44" i="64"/>
  <c r="R50" i="64"/>
  <c r="AF50" i="64"/>
  <c r="AF51" i="64"/>
  <c r="AF52" i="64"/>
  <c r="T62" i="64"/>
  <c r="U62" i="64"/>
  <c r="V62" i="64"/>
  <c r="V83" i="64" s="1"/>
  <c r="V85" i="64" s="1"/>
  <c r="H11" i="64" s="1"/>
  <c r="W62" i="64"/>
  <c r="W83" i="64" s="1"/>
  <c r="W85" i="64" s="1"/>
  <c r="H12" i="64" s="1"/>
  <c r="X62" i="64"/>
  <c r="X83" i="64" s="1"/>
  <c r="X85" i="64" s="1"/>
  <c r="H13" i="64" s="1"/>
  <c r="Y62" i="64"/>
  <c r="Y83" i="64" s="1"/>
  <c r="Y85" i="64" s="1"/>
  <c r="H14" i="64" s="1"/>
  <c r="Z62" i="64"/>
  <c r="AA62" i="64"/>
  <c r="AB62" i="64"/>
  <c r="AC62" i="64"/>
  <c r="H21" i="64" s="1"/>
  <c r="AD62" i="64"/>
  <c r="H22" i="64" s="1"/>
  <c r="R68" i="64"/>
  <c r="Z68" i="64"/>
  <c r="Z69" i="64"/>
  <c r="Z70" i="64"/>
  <c r="Z71" i="64"/>
  <c r="Z81" i="64"/>
  <c r="Z82" i="64"/>
  <c r="Z84" i="64"/>
  <c r="R65" i="63"/>
  <c r="R66" i="63"/>
  <c r="R67" i="63"/>
  <c r="R68" i="63"/>
  <c r="R69" i="63"/>
  <c r="R70" i="63"/>
  <c r="R83" i="63"/>
  <c r="R84" i="63"/>
  <c r="R85" i="63"/>
  <c r="R86" i="63"/>
  <c r="R87" i="63"/>
  <c r="R37" i="63"/>
  <c r="R38" i="63"/>
  <c r="R39" i="63"/>
  <c r="R40" i="63"/>
  <c r="R41" i="63"/>
  <c r="R42" i="63"/>
  <c r="R43" i="63"/>
  <c r="R44" i="63"/>
  <c r="P70" i="1"/>
  <c r="Q70" i="1"/>
  <c r="R70" i="1"/>
  <c r="P66" i="1"/>
  <c r="Q66" i="1"/>
  <c r="R66" i="1"/>
  <c r="Q61" i="1"/>
  <c r="R61" i="1"/>
  <c r="P51" i="1"/>
  <c r="Q51" i="1"/>
  <c r="R51" i="1"/>
  <c r="P44" i="1"/>
  <c r="Q44" i="1"/>
  <c r="R44" i="1"/>
  <c r="I25" i="64" l="1"/>
  <c r="R36" i="1"/>
  <c r="H7" i="64"/>
  <c r="H20" i="64"/>
  <c r="P6" i="1"/>
  <c r="Q6" i="1"/>
  <c r="H19" i="64"/>
  <c r="H18" i="64"/>
  <c r="H6" i="64"/>
  <c r="AF62" i="64"/>
  <c r="AC44" i="64"/>
  <c r="Z83" i="64"/>
  <c r="Z85" i="64" s="1"/>
  <c r="Q60" i="1"/>
  <c r="R60" i="1"/>
  <c r="P60" i="1"/>
  <c r="P36" i="1"/>
  <c r="Q36" i="1"/>
  <c r="H8" i="64" l="1"/>
  <c r="P281" i="1"/>
  <c r="P282" i="1" s="1"/>
  <c r="P297" i="1" s="1"/>
  <c r="P302" i="1" s="1"/>
  <c r="P74" i="1"/>
  <c r="H23" i="64"/>
  <c r="R116" i="2"/>
  <c r="R110" i="2"/>
  <c r="R111" i="2"/>
  <c r="R112" i="2"/>
  <c r="R113" i="2"/>
  <c r="R109" i="2"/>
  <c r="R105" i="2"/>
  <c r="R104" i="2"/>
  <c r="R100" i="2"/>
  <c r="R99" i="2"/>
  <c r="R95" i="2"/>
  <c r="R94" i="2"/>
  <c r="R90" i="2"/>
  <c r="R88" i="2"/>
  <c r="R84" i="2"/>
  <c r="R72" i="2"/>
  <c r="R73" i="2"/>
  <c r="R68" i="2"/>
  <c r="R67" i="2"/>
  <c r="R63" i="2"/>
  <c r="R62" i="2"/>
  <c r="R55" i="2"/>
  <c r="R56" i="2"/>
  <c r="R57" i="2"/>
  <c r="R58" i="2"/>
  <c r="R54" i="2"/>
  <c r="R35" i="2"/>
  <c r="R36" i="2"/>
  <c r="R50" i="2"/>
  <c r="R26" i="2"/>
  <c r="R19" i="2"/>
  <c r="R20" i="2"/>
  <c r="R21" i="2"/>
  <c r="R22" i="2"/>
  <c r="R18" i="2"/>
  <c r="R11" i="2"/>
  <c r="R12" i="2"/>
  <c r="R13" i="2"/>
  <c r="R14" i="2"/>
  <c r="R10" i="2"/>
  <c r="M116" i="2"/>
  <c r="M67" i="2"/>
  <c r="M68" i="2"/>
  <c r="H25" i="64" l="1"/>
  <c r="O56" i="1"/>
  <c r="O49" i="1"/>
  <c r="O93" i="1"/>
  <c r="O92" i="1"/>
  <c r="O91" i="1"/>
  <c r="O140" i="1"/>
  <c r="O153" i="1"/>
  <c r="O152" i="1"/>
  <c r="O225" i="1"/>
  <c r="O219" i="1"/>
  <c r="O213" i="1"/>
  <c r="O207" i="1"/>
  <c r="O201" i="1"/>
  <c r="O195" i="1"/>
  <c r="O189" i="1"/>
  <c r="O165" i="1"/>
  <c r="O224" i="1"/>
  <c r="O218" i="1"/>
  <c r="O212" i="1"/>
  <c r="O206" i="1"/>
  <c r="O200" i="1"/>
  <c r="O194" i="1"/>
  <c r="O188" i="1"/>
  <c r="O164" i="1"/>
  <c r="O223" i="1"/>
  <c r="O217" i="1"/>
  <c r="O211" i="1"/>
  <c r="O205" i="1"/>
  <c r="O199" i="1"/>
  <c r="O193" i="1"/>
  <c r="O187" i="1"/>
  <c r="O163" i="1"/>
  <c r="O151" i="1"/>
  <c r="O139" i="1"/>
  <c r="O222" i="1"/>
  <c r="O216" i="1"/>
  <c r="O210" i="1"/>
  <c r="O204" i="1"/>
  <c r="O198" i="1"/>
  <c r="O192" i="1"/>
  <c r="O186" i="1"/>
  <c r="O162" i="1"/>
  <c r="O150" i="1"/>
  <c r="O138" i="1"/>
  <c r="O90" i="1"/>
  <c r="O42" i="1"/>
  <c r="O41" i="1"/>
  <c r="O55" i="1"/>
  <c r="O48" i="1"/>
  <c r="O54" i="1"/>
  <c r="O47" i="1"/>
  <c r="O40" i="1"/>
  <c r="O53" i="1"/>
  <c r="O46" i="1"/>
  <c r="O39" i="1"/>
  <c r="Z88" i="66"/>
  <c r="Z86" i="66"/>
  <c r="Z85" i="66"/>
  <c r="Z82" i="66"/>
  <c r="Z81" i="66"/>
  <c r="Z80" i="66"/>
  <c r="R80" i="66"/>
  <c r="AD74" i="66"/>
  <c r="J22" i="66" s="1"/>
  <c r="AC74" i="66"/>
  <c r="J21" i="66" s="1"/>
  <c r="AB74" i="66"/>
  <c r="AA74" i="66"/>
  <c r="Z74" i="66"/>
  <c r="Y74" i="66"/>
  <c r="Y87" i="66" s="1"/>
  <c r="Y89" i="66" s="1"/>
  <c r="J14" i="66" s="1"/>
  <c r="X74" i="66"/>
  <c r="X87" i="66" s="1"/>
  <c r="X89" i="66" s="1"/>
  <c r="J13" i="66" s="1"/>
  <c r="W74" i="66"/>
  <c r="W87" i="66" s="1"/>
  <c r="W89" i="66" s="1"/>
  <c r="J12" i="66" s="1"/>
  <c r="V74" i="66"/>
  <c r="V87" i="66" s="1"/>
  <c r="V89" i="66" s="1"/>
  <c r="J11" i="66" s="1"/>
  <c r="U74" i="66"/>
  <c r="T74" i="66"/>
  <c r="R62" i="66"/>
  <c r="AB56" i="66"/>
  <c r="AA56" i="66"/>
  <c r="Z56" i="66"/>
  <c r="Y56" i="66"/>
  <c r="J17" i="66" s="1"/>
  <c r="X56" i="66"/>
  <c r="W56" i="66"/>
  <c r="J15" i="66" s="1"/>
  <c r="V56" i="66"/>
  <c r="U56" i="66"/>
  <c r="T56" i="66"/>
  <c r="J5" i="66" s="1"/>
  <c r="R45" i="66"/>
  <c r="K10" i="66"/>
  <c r="K23" i="66" s="1"/>
  <c r="K8" i="66"/>
  <c r="Z88" i="65"/>
  <c r="Z86" i="65"/>
  <c r="Z85" i="65"/>
  <c r="Z75" i="65"/>
  <c r="Z74" i="65"/>
  <c r="Z73" i="65"/>
  <c r="Z72" i="65"/>
  <c r="R72" i="65"/>
  <c r="AD66" i="65"/>
  <c r="H22" i="65" s="1"/>
  <c r="AC66" i="65"/>
  <c r="H21" i="65" s="1"/>
  <c r="AB66" i="65"/>
  <c r="AA66" i="65"/>
  <c r="Z66" i="65"/>
  <c r="Y66" i="65"/>
  <c r="Y87" i="65" s="1"/>
  <c r="Y89" i="65" s="1"/>
  <c r="H14" i="65" s="1"/>
  <c r="X66" i="65"/>
  <c r="X87" i="65" s="1"/>
  <c r="X89" i="65" s="1"/>
  <c r="H13" i="65" s="1"/>
  <c r="W66" i="65"/>
  <c r="W87" i="65" s="1"/>
  <c r="W89" i="65" s="1"/>
  <c r="H12" i="65" s="1"/>
  <c r="V66" i="65"/>
  <c r="V87" i="65" s="1"/>
  <c r="U66" i="65"/>
  <c r="T66" i="65"/>
  <c r="R54" i="65"/>
  <c r="AB48" i="65"/>
  <c r="AA48" i="65"/>
  <c r="Z48" i="65"/>
  <c r="Y48" i="65"/>
  <c r="H17" i="65" s="1"/>
  <c r="X48" i="65"/>
  <c r="W48" i="65"/>
  <c r="H15" i="65" s="1"/>
  <c r="V48" i="65"/>
  <c r="U48" i="65"/>
  <c r="T48" i="65"/>
  <c r="H5" i="65" s="1"/>
  <c r="R38" i="65"/>
  <c r="I10" i="65"/>
  <c r="I23" i="65" s="1"/>
  <c r="I8" i="65"/>
  <c r="Z92" i="63"/>
  <c r="Z82" i="63"/>
  <c r="R82" i="63"/>
  <c r="AD76" i="63"/>
  <c r="H22" i="63" s="1"/>
  <c r="AC76" i="63"/>
  <c r="H21" i="63" s="1"/>
  <c r="AB76" i="63"/>
  <c r="AA76" i="63"/>
  <c r="Z76" i="63"/>
  <c r="Y76" i="63"/>
  <c r="Y91" i="63" s="1"/>
  <c r="Y93" i="63" s="1"/>
  <c r="H14" i="63" s="1"/>
  <c r="X76" i="63"/>
  <c r="X91" i="63" s="1"/>
  <c r="X93" i="63" s="1"/>
  <c r="H13" i="63" s="1"/>
  <c r="W76" i="63"/>
  <c r="W91" i="63" s="1"/>
  <c r="W93" i="63" s="1"/>
  <c r="H12" i="63" s="1"/>
  <c r="V76" i="63"/>
  <c r="V91" i="63" s="1"/>
  <c r="U76" i="63"/>
  <c r="T76" i="63"/>
  <c r="R64" i="63"/>
  <c r="AB58" i="63"/>
  <c r="AA58" i="63"/>
  <c r="Z58" i="63"/>
  <c r="Y58" i="63"/>
  <c r="H17" i="63" s="1"/>
  <c r="X58" i="63"/>
  <c r="W58" i="63"/>
  <c r="H15" i="63" s="1"/>
  <c r="V58" i="63"/>
  <c r="U58" i="63"/>
  <c r="T58" i="63"/>
  <c r="H5" i="63" s="1"/>
  <c r="R36" i="63"/>
  <c r="I10" i="63"/>
  <c r="I23" i="63" s="1"/>
  <c r="I8" i="63"/>
  <c r="I25" i="63" l="1"/>
  <c r="I25" i="65"/>
  <c r="H7" i="63"/>
  <c r="J19" i="66"/>
  <c r="J20" i="66"/>
  <c r="H20" i="63"/>
  <c r="H18" i="63"/>
  <c r="H7" i="65"/>
  <c r="H19" i="63"/>
  <c r="J7" i="66"/>
  <c r="H18" i="65"/>
  <c r="H19" i="65"/>
  <c r="J6" i="66"/>
  <c r="J18" i="66"/>
  <c r="H6" i="65"/>
  <c r="H20" i="65"/>
  <c r="H6" i="63"/>
  <c r="G25" i="66"/>
  <c r="G25" i="65"/>
  <c r="AF74" i="66"/>
  <c r="AF66" i="65"/>
  <c r="AF76" i="63"/>
  <c r="AC56" i="66"/>
  <c r="AC48" i="65"/>
  <c r="AC58" i="63"/>
  <c r="Z87" i="66"/>
  <c r="Z89" i="66" s="1"/>
  <c r="V89" i="65"/>
  <c r="H11" i="65" s="1"/>
  <c r="Z87" i="65"/>
  <c r="Z89" i="65" s="1"/>
  <c r="V93" i="63"/>
  <c r="H11" i="63" s="1"/>
  <c r="Z91" i="63"/>
  <c r="Z93" i="63" s="1"/>
  <c r="P12" i="61"/>
  <c r="N125" i="1" s="1"/>
  <c r="P24" i="61"/>
  <c r="N123" i="1" s="1"/>
  <c r="R28" i="4"/>
  <c r="R19" i="4"/>
  <c r="R10" i="4"/>
  <c r="T28" i="4"/>
  <c r="T19" i="4"/>
  <c r="T10" i="4"/>
  <c r="O99" i="1"/>
  <c r="O98" i="1"/>
  <c r="I4" i="3"/>
  <c r="I5" i="3" s="1"/>
  <c r="H5" i="3"/>
  <c r="J5" i="3"/>
  <c r="O100" i="1"/>
  <c r="O97" i="1"/>
  <c r="N117" i="1" l="1"/>
  <c r="J23" i="66"/>
  <c r="H8" i="63"/>
  <c r="J8" i="66"/>
  <c r="H23" i="63"/>
  <c r="H8" i="65"/>
  <c r="H23" i="65"/>
  <c r="O117" i="1"/>
  <c r="O96" i="1"/>
  <c r="O128" i="1"/>
  <c r="O130" i="1"/>
  <c r="O129" i="1"/>
  <c r="O52" i="1"/>
  <c r="O45" i="1"/>
  <c r="O38" i="1"/>
  <c r="O37" i="1" s="1"/>
  <c r="O220" i="1"/>
  <c r="O214" i="1"/>
  <c r="O208" i="1"/>
  <c r="O202" i="1"/>
  <c r="O196" i="1"/>
  <c r="O190" i="1"/>
  <c r="O184" i="1"/>
  <c r="O137" i="1"/>
  <c r="O136" i="1" s="1"/>
  <c r="O89" i="1"/>
  <c r="H25" i="63" l="1"/>
  <c r="H25" i="65"/>
  <c r="O183" i="1"/>
  <c r="O127" i="1"/>
  <c r="C128" i="2"/>
  <c r="C136" i="2"/>
  <c r="B136" i="2"/>
  <c r="D128" i="2"/>
  <c r="B128" i="2"/>
  <c r="N254" i="1" s="1"/>
  <c r="Q114" i="2"/>
  <c r="P114" i="2"/>
  <c r="O114" i="2"/>
  <c r="N114" i="2"/>
  <c r="K114" i="2"/>
  <c r="J114" i="2"/>
  <c r="I114" i="2"/>
  <c r="H114" i="2"/>
  <c r="G114" i="2"/>
  <c r="F114" i="2"/>
  <c r="E114" i="2"/>
  <c r="D114" i="2"/>
  <c r="C114" i="2"/>
  <c r="B114" i="2"/>
  <c r="Q106" i="2"/>
  <c r="P106" i="2"/>
  <c r="O106" i="2"/>
  <c r="N106" i="2"/>
  <c r="K106" i="2"/>
  <c r="J106" i="2"/>
  <c r="I106" i="2"/>
  <c r="H106" i="2"/>
  <c r="G106" i="2"/>
  <c r="F106" i="2"/>
  <c r="E106" i="2"/>
  <c r="D106" i="2"/>
  <c r="C106" i="2"/>
  <c r="B106" i="2"/>
  <c r="Q101" i="2"/>
  <c r="P101" i="2"/>
  <c r="O101" i="2"/>
  <c r="N101" i="2"/>
  <c r="K101" i="2"/>
  <c r="J101" i="2"/>
  <c r="I101" i="2"/>
  <c r="H101" i="2"/>
  <c r="G101" i="2"/>
  <c r="F101" i="2"/>
  <c r="E101" i="2"/>
  <c r="D101" i="2"/>
  <c r="C101" i="2"/>
  <c r="B101" i="2"/>
  <c r="Q96" i="2"/>
  <c r="P96" i="2"/>
  <c r="O96" i="2"/>
  <c r="N96" i="2"/>
  <c r="K96" i="2"/>
  <c r="J96" i="2"/>
  <c r="I96" i="2"/>
  <c r="H96" i="2"/>
  <c r="G96" i="2"/>
  <c r="F96" i="2"/>
  <c r="E96" i="2"/>
  <c r="D96" i="2"/>
  <c r="C96" i="2"/>
  <c r="B96" i="2"/>
  <c r="Q91" i="2"/>
  <c r="P91" i="2"/>
  <c r="O91" i="2"/>
  <c r="N91" i="2"/>
  <c r="K91" i="2"/>
  <c r="J91" i="2"/>
  <c r="I91" i="2"/>
  <c r="H91" i="2"/>
  <c r="G91" i="2"/>
  <c r="F91" i="2"/>
  <c r="E91" i="2"/>
  <c r="D91" i="2"/>
  <c r="C91" i="2"/>
  <c r="B91" i="2"/>
  <c r="Q85" i="2"/>
  <c r="P85" i="2"/>
  <c r="O85" i="2"/>
  <c r="N85" i="2"/>
  <c r="K85" i="2"/>
  <c r="J85" i="2"/>
  <c r="I85" i="2"/>
  <c r="H85" i="2"/>
  <c r="G85" i="2"/>
  <c r="F85" i="2"/>
  <c r="E85" i="2"/>
  <c r="D85" i="2"/>
  <c r="C85" i="2"/>
  <c r="B85" i="2"/>
  <c r="Q74" i="2"/>
  <c r="P74" i="2"/>
  <c r="O74" i="2"/>
  <c r="N74" i="2"/>
  <c r="K74" i="2"/>
  <c r="J74" i="2"/>
  <c r="I74" i="2"/>
  <c r="H74" i="2"/>
  <c r="G74" i="2"/>
  <c r="F74" i="2"/>
  <c r="E74" i="2"/>
  <c r="D74" i="2"/>
  <c r="C74" i="2"/>
  <c r="B74" i="2"/>
  <c r="Q69" i="2"/>
  <c r="P69" i="2"/>
  <c r="O69" i="2"/>
  <c r="N69" i="2"/>
  <c r="K69" i="2"/>
  <c r="J69" i="2"/>
  <c r="I69" i="2"/>
  <c r="H69" i="2"/>
  <c r="G69" i="2"/>
  <c r="F69" i="2"/>
  <c r="E69" i="2"/>
  <c r="D69" i="2"/>
  <c r="C69" i="2"/>
  <c r="B69" i="2"/>
  <c r="Q64" i="2"/>
  <c r="P64" i="2"/>
  <c r="O64" i="2"/>
  <c r="N64" i="2"/>
  <c r="K64" i="2"/>
  <c r="J64" i="2"/>
  <c r="I64" i="2"/>
  <c r="H64" i="2"/>
  <c r="G64" i="2"/>
  <c r="F64" i="2"/>
  <c r="E64" i="2"/>
  <c r="D64" i="2"/>
  <c r="C64" i="2"/>
  <c r="B64" i="2"/>
  <c r="Q59" i="2"/>
  <c r="P59" i="2"/>
  <c r="O59" i="2"/>
  <c r="N59" i="2"/>
  <c r="Q51" i="2"/>
  <c r="P51" i="2"/>
  <c r="O51" i="2"/>
  <c r="N51" i="2"/>
  <c r="Q23" i="2"/>
  <c r="P23" i="2"/>
  <c r="O23" i="2"/>
  <c r="N23" i="2"/>
  <c r="K23" i="2"/>
  <c r="J23" i="2"/>
  <c r="I23" i="2"/>
  <c r="H23" i="2"/>
  <c r="G23" i="2"/>
  <c r="F23" i="2"/>
  <c r="E23" i="2"/>
  <c r="D23" i="2"/>
  <c r="C23" i="2"/>
  <c r="B23" i="2"/>
  <c r="C15" i="2"/>
  <c r="D15" i="2"/>
  <c r="E15" i="2"/>
  <c r="F15" i="2"/>
  <c r="G15" i="2"/>
  <c r="H15" i="2"/>
  <c r="I15" i="2"/>
  <c r="J15" i="2"/>
  <c r="K15" i="2"/>
  <c r="N15" i="2"/>
  <c r="O15" i="2"/>
  <c r="P15" i="2"/>
  <c r="Q15" i="2"/>
  <c r="B15" i="2"/>
  <c r="Y12" i="62"/>
  <c r="D131" i="2" l="1"/>
  <c r="D136" i="2" s="1"/>
  <c r="L256" i="1" s="1"/>
  <c r="M23" i="2"/>
  <c r="E118" i="2"/>
  <c r="E4" i="2" s="1"/>
  <c r="L177" i="1" s="1"/>
  <c r="D118" i="2"/>
  <c r="D4" i="2" s="1"/>
  <c r="L135" i="1" s="1"/>
  <c r="L132" i="1" s="1"/>
  <c r="J118" i="2"/>
  <c r="J4" i="2" s="1"/>
  <c r="L180" i="1" s="1"/>
  <c r="C118" i="2"/>
  <c r="C4" i="2" s="1"/>
  <c r="L176" i="1" s="1"/>
  <c r="M96" i="2"/>
  <c r="I118" i="2"/>
  <c r="I4" i="2" s="1"/>
  <c r="L147" i="1" s="1"/>
  <c r="L144" i="1" s="1"/>
  <c r="B118" i="2"/>
  <c r="B4" i="2" s="1"/>
  <c r="L175" i="1" s="1"/>
  <c r="M15" i="2"/>
  <c r="H118" i="2"/>
  <c r="H4" i="2" s="1"/>
  <c r="M64" i="2"/>
  <c r="M91" i="2"/>
  <c r="M114" i="2"/>
  <c r="F118" i="2"/>
  <c r="F4" i="2" s="1"/>
  <c r="M59" i="2"/>
  <c r="M85" i="2"/>
  <c r="M106" i="2"/>
  <c r="G118" i="2"/>
  <c r="G4" i="2" s="1"/>
  <c r="M101" i="2"/>
  <c r="M74" i="2"/>
  <c r="K118" i="2"/>
  <c r="C138" i="2"/>
  <c r="B138" i="2"/>
  <c r="Q118" i="2"/>
  <c r="Q4" i="2" s="1"/>
  <c r="L28" i="1" s="1"/>
  <c r="L27" i="1" s="1"/>
  <c r="O118" i="2"/>
  <c r="O4" i="2" s="1"/>
  <c r="L20" i="1" s="1"/>
  <c r="N118" i="2"/>
  <c r="N4" i="2" s="1"/>
  <c r="L19" i="1" s="1"/>
  <c r="L18" i="1" s="1"/>
  <c r="P118" i="2"/>
  <c r="R114" i="2"/>
  <c r="R101" i="2"/>
  <c r="R106" i="2"/>
  <c r="R96" i="2"/>
  <c r="R91" i="2"/>
  <c r="R74" i="2"/>
  <c r="R85" i="2"/>
  <c r="R69" i="2"/>
  <c r="M69" i="2"/>
  <c r="R64" i="2"/>
  <c r="R59" i="2"/>
  <c r="R51" i="2"/>
  <c r="R23" i="2"/>
  <c r="L6" i="1" l="1"/>
  <c r="N144" i="1"/>
  <c r="L179" i="1"/>
  <c r="N156" i="1"/>
  <c r="L178" i="1"/>
  <c r="L158" i="1"/>
  <c r="L156" i="1" s="1"/>
  <c r="L251" i="1"/>
  <c r="L250" i="1"/>
  <c r="L281" i="1"/>
  <c r="L74" i="1"/>
  <c r="N256" i="1"/>
  <c r="D138" i="2"/>
  <c r="N18" i="1"/>
  <c r="O24" i="1"/>
  <c r="O23" i="1" s="1"/>
  <c r="P4" i="2"/>
  <c r="N24" i="1" s="1"/>
  <c r="N23" i="1" s="1"/>
  <c r="O181" i="1"/>
  <c r="K4" i="2"/>
  <c r="L181" i="1" s="1"/>
  <c r="O135" i="1"/>
  <c r="O132" i="1" s="1"/>
  <c r="O177" i="1"/>
  <c r="O158" i="1"/>
  <c r="O147" i="1"/>
  <c r="O180" i="1"/>
  <c r="O176" i="1"/>
  <c r="O178" i="1"/>
  <c r="O175" i="1"/>
  <c r="O179" i="1"/>
  <c r="L174" i="1" l="1"/>
  <c r="L116" i="1" s="1"/>
  <c r="L280" i="1" s="1"/>
  <c r="L282" i="1" s="1"/>
  <c r="N251" i="1"/>
  <c r="N250" i="1"/>
  <c r="N174" i="1"/>
  <c r="N116" i="1" s="1"/>
  <c r="M4" i="2"/>
  <c r="O174" i="1"/>
  <c r="N6" i="1"/>
  <c r="N74" i="1" s="1"/>
  <c r="N281" i="1" l="1"/>
  <c r="O229" i="1"/>
  <c r="O228" i="1" s="1"/>
  <c r="O106" i="1" l="1"/>
  <c r="O105" i="1"/>
  <c r="O104" i="1"/>
  <c r="O103" i="1"/>
  <c r="F83" i="3"/>
  <c r="C48" i="3"/>
  <c r="D31" i="49"/>
  <c r="D30" i="49"/>
  <c r="D26" i="49"/>
  <c r="D25" i="49"/>
  <c r="D22" i="49"/>
  <c r="D21" i="49"/>
  <c r="H9" i="49" s="1"/>
  <c r="I14" i="49" l="1"/>
  <c r="N81" i="1" s="1"/>
  <c r="H15" i="49"/>
  <c r="H21" i="49" s="1"/>
  <c r="H22" i="49" s="1"/>
  <c r="O102" i="1"/>
  <c r="D33" i="49"/>
  <c r="R15" i="2"/>
  <c r="R118" i="2" s="1"/>
  <c r="R4" i="2" s="1"/>
  <c r="C7" i="49"/>
  <c r="C5" i="49"/>
  <c r="C4" i="49"/>
  <c r="O87" i="1"/>
  <c r="O86" i="1" s="1"/>
  <c r="O70" i="1"/>
  <c r="N79" i="1" l="1"/>
  <c r="N78" i="1"/>
  <c r="C15" i="49"/>
  <c r="D6" i="49"/>
  <c r="O51" i="1"/>
  <c r="O44" i="1"/>
  <c r="N280" i="1" l="1"/>
  <c r="N282" i="1" s="1"/>
  <c r="O261" i="1"/>
  <c r="O148" i="1" l="1"/>
  <c r="O144" i="1" s="1"/>
  <c r="O88" i="1"/>
  <c r="O78" i="1" s="1"/>
  <c r="O36" i="1"/>
  <c r="O160" i="1"/>
  <c r="O156" i="1" s="1"/>
  <c r="O116" i="1" l="1"/>
  <c r="O275" i="1"/>
  <c r="O270" i="1" l="1"/>
  <c r="O265" i="1" s="1"/>
  <c r="O250" i="1" s="1"/>
  <c r="O280" i="1" s="1"/>
  <c r="O285" i="1" s="1"/>
  <c r="O61" i="1" l="1"/>
  <c r="O66" i="1"/>
  <c r="O60" i="1" l="1"/>
  <c r="O6" i="1"/>
  <c r="O281" i="1" l="1"/>
  <c r="O282" i="1" s="1"/>
  <c r="O7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700-000001000000}">
      <text>
        <r>
          <rPr>
            <b/>
            <sz val="9"/>
            <color indexed="81"/>
            <rFont val="Segoe UI"/>
            <family val="2"/>
          </rPr>
          <t>Alle Teilnahmebeiträge für Fachseminare</t>
        </r>
      </text>
    </comment>
    <comment ref="D6" authorId="0" shapeId="0" xr:uid="{00000000-0006-0000-0700-000002000000}">
      <text>
        <r>
          <rPr>
            <b/>
            <sz val="9"/>
            <color indexed="81"/>
            <rFont val="Segoe UI"/>
            <family val="2"/>
          </rPr>
          <t>Fachschaftsexkursionen z.B., Workshop Großpuppenbau</t>
        </r>
      </text>
    </comment>
    <comment ref="D7" authorId="0" shapeId="0" xr:uid="{00000000-0006-0000-0700-000003000000}">
      <text>
        <r>
          <rPr>
            <b/>
            <sz val="9"/>
            <color indexed="81"/>
            <rFont val="Segoe UI"/>
            <family val="2"/>
          </rPr>
          <t>Einnahmen aus Bewirtungen nur als durchlaufende Posten, hier nur noch nicht abgerechnete Vorauszahlungen.</t>
        </r>
      </text>
    </comment>
    <comment ref="D10" authorId="0" shapeId="0" xr:uid="{00000000-0006-0000-0700-000004000000}">
      <text>
        <r>
          <rPr>
            <b/>
            <sz val="9"/>
            <color indexed="81"/>
            <rFont val="Segoe UI"/>
            <family val="2"/>
          </rPr>
          <t>Feststehender Posten gem. Satzung</t>
        </r>
      </text>
    </comment>
    <comment ref="D12" authorId="0" shapeId="0" xr:uid="{00000000-0006-0000-0700-000005000000}">
      <text>
        <r>
          <rPr>
            <b/>
            <sz val="9"/>
            <color indexed="81"/>
            <rFont val="Segoe UI"/>
            <family val="2"/>
          </rPr>
          <t>Enthält alle FK und VP, die an FSR-Mitglieder und Ersatzmitglieder gezahlt werden.</t>
        </r>
      </text>
    </comment>
    <comment ref="D13" authorId="0" shapeId="0" xr:uid="{00000000-0006-0000-0700-000006000000}">
      <text>
        <r>
          <rPr>
            <b/>
            <sz val="9"/>
            <color indexed="81"/>
            <rFont val="Segoe UI"/>
            <family val="2"/>
          </rPr>
          <t>Alle Raum. Und Unterkunftskosten für Interne. Bedient Sitzungen, Treffen, Reisen in Funktion u.ä.</t>
        </r>
      </text>
    </comment>
    <comment ref="D14" authorId="0" shapeId="0" xr:uid="{00000000-0006-0000-0700-000007000000}">
      <text>
        <r>
          <rPr>
            <b/>
            <sz val="9"/>
            <color indexed="81"/>
            <rFont val="Segoe UI"/>
            <family val="2"/>
          </rPr>
          <t>Nur "Food", nicht "Non-Food".
Repräsentation: Bspw. Fachschaftskleidung</t>
        </r>
      </text>
    </comment>
    <comment ref="D15" authorId="0" shapeId="0" xr:uid="{00000000-0006-0000-0700-000008000000}">
      <text>
        <r>
          <rPr>
            <b/>
            <sz val="9"/>
            <color indexed="81"/>
            <rFont val="Segoe UI"/>
            <family val="2"/>
          </rPr>
          <t>Hier nur die Honorare für Dozierende kostenpflichtiger Seminare für Studierende</t>
        </r>
      </text>
    </comment>
    <comment ref="D16" authorId="0" shapeId="0" xr:uid="{00000000-0006-0000-0700-000009000000}">
      <text>
        <r>
          <rPr>
            <b/>
            <sz val="9"/>
            <color indexed="81"/>
            <rFont val="Segoe UI"/>
            <family val="2"/>
          </rPr>
          <t>Hier alle anderen Honorare für externe Dozierende. Z.B. kostenlose Seminare, Workshops, Vorträge...</t>
        </r>
      </text>
    </comment>
    <comment ref="D17" authorId="0" shapeId="0" xr:uid="{00000000-0006-0000-0700-00000A000000}">
      <text>
        <r>
          <rPr>
            <b/>
            <sz val="9"/>
            <color indexed="81"/>
            <rFont val="Segoe UI"/>
            <family val="2"/>
          </rPr>
          <t>Alle RK-Erstattungen an Externe. Meist Doz. Präsenzseminare und andere Dozierende.</t>
        </r>
      </text>
    </comment>
    <comment ref="D18" authorId="0" shapeId="0" xr:uid="{00000000-0006-0000-0700-00000B000000}">
      <text>
        <r>
          <rPr>
            <b/>
            <sz val="9"/>
            <color indexed="81"/>
            <rFont val="Segoe UI"/>
            <family val="2"/>
          </rPr>
          <t>Kaffee und Kekse für Präsenzseminare.
Ein Kasten Bier.
Empfänge. Wiwi-Eule.</t>
        </r>
      </text>
    </comment>
    <comment ref="D19" authorId="0" shapeId="0" xr:uid="{00000000-0006-0000-0700-00000C000000}">
      <text>
        <r>
          <rPr>
            <b/>
            <sz val="9"/>
            <color indexed="81"/>
            <rFont val="Segoe UI"/>
            <family val="2"/>
          </rPr>
          <t>Unterkunft Doz., kostenpfl. Räume in der BHS oder anderswo.</t>
        </r>
      </text>
    </comment>
    <comment ref="D20" authorId="0" shapeId="0" xr:uid="{00000000-0006-0000-0700-00000D000000}">
      <text>
        <r>
          <rPr>
            <b/>
            <sz val="9"/>
            <color indexed="81"/>
            <rFont val="Segoe UI"/>
            <family val="2"/>
          </rPr>
          <t>Alle Druckkosten</t>
        </r>
      </text>
    </comment>
    <comment ref="D21" authorId="0" shapeId="0" xr:uid="{00000000-0006-0000-0700-00000E000000}">
      <text>
        <r>
          <rPr>
            <b/>
            <sz val="9"/>
            <color indexed="81"/>
            <rFont val="Segoe UI"/>
            <family val="2"/>
          </rPr>
          <t>Auch: Beteiligung an Versandkosten für Sprachrohr-Beilagen, Non-Food, Kleinanschaffungen</t>
        </r>
      </text>
    </comment>
    <comment ref="D22" authorId="0" shapeId="0" xr:uid="{00000000-0006-0000-0700-00000F000000}">
      <text>
        <r>
          <rPr>
            <b/>
            <sz val="9"/>
            <color indexed="81"/>
            <rFont val="Segoe UI"/>
            <family val="2"/>
          </rPr>
          <t>Rechtsangelegenheiten laufen über den AStA und erfordern eine Gegenzeichnung.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800-000001000000}">
      <text>
        <r>
          <rPr>
            <b/>
            <sz val="9"/>
            <color indexed="81"/>
            <rFont val="Segoe UI"/>
            <family val="2"/>
          </rPr>
          <t>Alle Teilnahmebeiträge für Fachseminare</t>
        </r>
      </text>
    </comment>
    <comment ref="D6" authorId="0" shapeId="0" xr:uid="{00000000-0006-0000-0800-000002000000}">
      <text>
        <r>
          <rPr>
            <b/>
            <sz val="9"/>
            <color indexed="81"/>
            <rFont val="Segoe UI"/>
            <family val="2"/>
          </rPr>
          <t>Fachschaftsexkursionen z.B., Workshop Großpuppenbau</t>
        </r>
      </text>
    </comment>
    <comment ref="D7" authorId="0" shapeId="0" xr:uid="{00000000-0006-0000-0800-000003000000}">
      <text>
        <r>
          <rPr>
            <b/>
            <sz val="9"/>
            <color indexed="81"/>
            <rFont val="Segoe UI"/>
            <family val="2"/>
          </rPr>
          <t>Einnahmen aus Bewirtungen nur als durchlaufende Posten, hier nur noch nicht abgerechnete Vorauszahlungen.</t>
        </r>
      </text>
    </comment>
    <comment ref="D10" authorId="0" shapeId="0" xr:uid="{00000000-0006-0000-0800-000004000000}">
      <text>
        <r>
          <rPr>
            <b/>
            <sz val="9"/>
            <color indexed="81"/>
            <rFont val="Segoe UI"/>
            <family val="2"/>
          </rPr>
          <t>Feststehender Posten gem. Satzung</t>
        </r>
      </text>
    </comment>
    <comment ref="D12" authorId="0" shapeId="0" xr:uid="{00000000-0006-0000-0800-000005000000}">
      <text>
        <r>
          <rPr>
            <b/>
            <sz val="9"/>
            <color indexed="81"/>
            <rFont val="Segoe UI"/>
            <family val="2"/>
          </rPr>
          <t>Enthält alle FK und VP, die an FSR-Mitglieder und Ersatzmitglieder gezahlt werden.</t>
        </r>
      </text>
    </comment>
    <comment ref="D13" authorId="0" shapeId="0" xr:uid="{00000000-0006-0000-0800-000006000000}">
      <text>
        <r>
          <rPr>
            <b/>
            <sz val="9"/>
            <color indexed="81"/>
            <rFont val="Segoe UI"/>
            <family val="2"/>
          </rPr>
          <t>Alle Raum. Und Unterkunftskosten für Interne. Bedient Sitzungen, Treffen, Reisen in Funktion u.ä.</t>
        </r>
      </text>
    </comment>
    <comment ref="D14" authorId="0" shapeId="0" xr:uid="{00000000-0006-0000-0800-000007000000}">
      <text>
        <r>
          <rPr>
            <b/>
            <sz val="9"/>
            <color indexed="81"/>
            <rFont val="Segoe UI"/>
            <family val="2"/>
          </rPr>
          <t>Nur "Food", nicht "Non-Food".
Repräsentation: Bspw. Fachschaftskleidung</t>
        </r>
      </text>
    </comment>
    <comment ref="D15" authorId="0" shapeId="0" xr:uid="{00000000-0006-0000-0800-000008000000}">
      <text>
        <r>
          <rPr>
            <b/>
            <sz val="9"/>
            <color indexed="81"/>
            <rFont val="Segoe UI"/>
            <family val="2"/>
          </rPr>
          <t>Hier nur die Honorare für Dozierende kostenpflichtiger Seminare für Studierende</t>
        </r>
      </text>
    </comment>
    <comment ref="D16" authorId="0" shapeId="0" xr:uid="{00000000-0006-0000-0800-000009000000}">
      <text>
        <r>
          <rPr>
            <b/>
            <sz val="9"/>
            <color indexed="81"/>
            <rFont val="Segoe UI"/>
            <family val="2"/>
          </rPr>
          <t>Hier alle anderen Honorare für externe Dozierende. Z.B. kostenlose Seminare, Workshops, Vorträge...</t>
        </r>
      </text>
    </comment>
    <comment ref="D17" authorId="0" shapeId="0" xr:uid="{00000000-0006-0000-0800-00000A000000}">
      <text>
        <r>
          <rPr>
            <b/>
            <sz val="9"/>
            <color indexed="81"/>
            <rFont val="Segoe UI"/>
            <family val="2"/>
          </rPr>
          <t>Alle RK-Erstattungen an Externe. Meist Doz. Präsenzseminare und andere Dozierende.</t>
        </r>
      </text>
    </comment>
    <comment ref="D18" authorId="0" shapeId="0" xr:uid="{00000000-0006-0000-0800-00000B000000}">
      <text>
        <r>
          <rPr>
            <b/>
            <sz val="9"/>
            <color indexed="81"/>
            <rFont val="Segoe UI"/>
            <family val="2"/>
          </rPr>
          <t>Kaffee und Kekse für Präsenzseminare.
Ein Kasten Bier.
Empfänge. Wiwi-Eule.</t>
        </r>
      </text>
    </comment>
    <comment ref="D19" authorId="0" shapeId="0" xr:uid="{00000000-0006-0000-0800-00000C000000}">
      <text>
        <r>
          <rPr>
            <b/>
            <sz val="9"/>
            <color indexed="81"/>
            <rFont val="Segoe UI"/>
            <family val="2"/>
          </rPr>
          <t>Unterkunft Doz., kostenpfl. Räume in der BHS oder anderswo.</t>
        </r>
      </text>
    </comment>
    <comment ref="D20" authorId="0" shapeId="0" xr:uid="{00000000-0006-0000-0800-00000D000000}">
      <text>
        <r>
          <rPr>
            <b/>
            <sz val="9"/>
            <color indexed="81"/>
            <rFont val="Segoe UI"/>
            <family val="2"/>
          </rPr>
          <t>Alle Druckkosten</t>
        </r>
      </text>
    </comment>
    <comment ref="D21" authorId="0" shapeId="0" xr:uid="{00000000-0006-0000-0800-00000E000000}">
      <text>
        <r>
          <rPr>
            <b/>
            <sz val="9"/>
            <color indexed="81"/>
            <rFont val="Segoe UI"/>
            <family val="2"/>
          </rPr>
          <t>Auch: Beteiligung an Versandkosten für Sprachrohr-Beilagen, Non-Food, Kleinanschaffungen</t>
        </r>
      </text>
    </comment>
    <comment ref="D22" authorId="0" shapeId="0" xr:uid="{00000000-0006-0000-0800-00000F000000}">
      <text>
        <r>
          <rPr>
            <b/>
            <sz val="9"/>
            <color indexed="81"/>
            <rFont val="Segoe UI"/>
            <family val="2"/>
          </rPr>
          <t>Rechtsangelegenheiten laufen über den AStA und erfordern eine Gegenzeichnung.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900-000001000000}">
      <text>
        <r>
          <rPr>
            <b/>
            <sz val="9"/>
            <color indexed="81"/>
            <rFont val="Segoe UI"/>
            <family val="2"/>
          </rPr>
          <t>Alle Teilnahmebeiträge für Fachseminare</t>
        </r>
      </text>
    </comment>
    <comment ref="D6" authorId="0" shapeId="0" xr:uid="{00000000-0006-0000-0900-000002000000}">
      <text>
        <r>
          <rPr>
            <b/>
            <sz val="9"/>
            <color indexed="81"/>
            <rFont val="Segoe UI"/>
            <family val="2"/>
          </rPr>
          <t>Fachschaftsexkursionen z.B., Workshop Großpuppenbau</t>
        </r>
      </text>
    </comment>
    <comment ref="D7" authorId="0" shapeId="0" xr:uid="{00000000-0006-0000-0900-000003000000}">
      <text>
        <r>
          <rPr>
            <b/>
            <sz val="9"/>
            <color indexed="81"/>
            <rFont val="Segoe UI"/>
            <family val="2"/>
          </rPr>
          <t>Einnahmen aus Bewirtungen nur als durchlaufende Posten, hier nur noch nicht abgerechnete Vorauszahlungen.</t>
        </r>
      </text>
    </comment>
    <comment ref="D10" authorId="0" shapeId="0" xr:uid="{00000000-0006-0000-0900-000004000000}">
      <text>
        <r>
          <rPr>
            <b/>
            <sz val="9"/>
            <color indexed="81"/>
            <rFont val="Segoe UI"/>
            <family val="2"/>
          </rPr>
          <t>Feststehender Posten gem. Satzung</t>
        </r>
      </text>
    </comment>
    <comment ref="D12" authorId="0" shapeId="0" xr:uid="{00000000-0006-0000-0900-000005000000}">
      <text>
        <r>
          <rPr>
            <b/>
            <sz val="9"/>
            <color indexed="81"/>
            <rFont val="Segoe UI"/>
            <family val="2"/>
          </rPr>
          <t>Enthält alle FK und VP, die an FSR-Mitglieder und Ersatzmitglieder gezahlt werden.</t>
        </r>
      </text>
    </comment>
    <comment ref="D13" authorId="0" shapeId="0" xr:uid="{00000000-0006-0000-0900-000006000000}">
      <text>
        <r>
          <rPr>
            <b/>
            <sz val="9"/>
            <color indexed="81"/>
            <rFont val="Segoe UI"/>
            <family val="2"/>
          </rPr>
          <t>Alle Raum. Und Unterkunftskosten für Interne. Bedient Sitzungen, Treffen, Reisen in Funktion u.ä.</t>
        </r>
      </text>
    </comment>
    <comment ref="D14" authorId="0" shapeId="0" xr:uid="{00000000-0006-0000-0900-000007000000}">
      <text>
        <r>
          <rPr>
            <b/>
            <sz val="9"/>
            <color indexed="81"/>
            <rFont val="Segoe UI"/>
            <family val="2"/>
          </rPr>
          <t>Nur "Food", nicht "Non-Food".
Repräsentation: Bspw. Fachschaftskleidung</t>
        </r>
      </text>
    </comment>
    <comment ref="D15" authorId="0" shapeId="0" xr:uid="{00000000-0006-0000-0900-000008000000}">
      <text>
        <r>
          <rPr>
            <b/>
            <sz val="9"/>
            <color indexed="81"/>
            <rFont val="Segoe UI"/>
            <family val="2"/>
          </rPr>
          <t>Hier nur die Honorare für Dozierende kostenpflichtiger Seminare für Studierende</t>
        </r>
      </text>
    </comment>
    <comment ref="D16" authorId="0" shapeId="0" xr:uid="{00000000-0006-0000-0900-000009000000}">
      <text>
        <r>
          <rPr>
            <b/>
            <sz val="9"/>
            <color indexed="81"/>
            <rFont val="Segoe UI"/>
            <family val="2"/>
          </rPr>
          <t>Hier alle anderen Honorare für externe Dozierende. Z.B. kostenlose Seminare, Workshops, Vorträge...</t>
        </r>
      </text>
    </comment>
    <comment ref="D17" authorId="0" shapeId="0" xr:uid="{00000000-0006-0000-0900-00000A000000}">
      <text>
        <r>
          <rPr>
            <b/>
            <sz val="9"/>
            <color indexed="81"/>
            <rFont val="Segoe UI"/>
            <family val="2"/>
          </rPr>
          <t>Alle RK-Erstattungen an Externe. Meist Doz. Präsenzseminare und andere Dozierende.</t>
        </r>
      </text>
    </comment>
    <comment ref="D18" authorId="0" shapeId="0" xr:uid="{00000000-0006-0000-0900-00000B000000}">
      <text>
        <r>
          <rPr>
            <b/>
            <sz val="9"/>
            <color indexed="81"/>
            <rFont val="Segoe UI"/>
            <family val="2"/>
          </rPr>
          <t>Kaffee und Kekse für Präsenzseminare.
Ein Kasten Bier.
Empfänge. Wiwi-Eule.</t>
        </r>
      </text>
    </comment>
    <comment ref="D19" authorId="0" shapeId="0" xr:uid="{00000000-0006-0000-0900-00000C000000}">
      <text>
        <r>
          <rPr>
            <b/>
            <sz val="9"/>
            <color indexed="81"/>
            <rFont val="Segoe UI"/>
            <family val="2"/>
          </rPr>
          <t>Unterkunft Doz., kostenpfl. Räume in der BHS oder anderswo.</t>
        </r>
      </text>
    </comment>
    <comment ref="D20" authorId="0" shapeId="0" xr:uid="{00000000-0006-0000-0900-00000D000000}">
      <text>
        <r>
          <rPr>
            <b/>
            <sz val="9"/>
            <color indexed="81"/>
            <rFont val="Segoe UI"/>
            <family val="2"/>
          </rPr>
          <t>Alle Druckkosten</t>
        </r>
      </text>
    </comment>
    <comment ref="D21" authorId="0" shapeId="0" xr:uid="{00000000-0006-0000-0900-00000E000000}">
      <text>
        <r>
          <rPr>
            <b/>
            <sz val="9"/>
            <color indexed="81"/>
            <rFont val="Segoe UI"/>
            <family val="2"/>
          </rPr>
          <t>Auch: Beteiligung an Versandkosten für Sprachrohr-Beilagen, Non-Food, Kleinanschaffungen</t>
        </r>
      </text>
    </comment>
    <comment ref="D22" authorId="0" shapeId="0" xr:uid="{00000000-0006-0000-0900-00000F000000}">
      <text>
        <r>
          <rPr>
            <b/>
            <sz val="9"/>
            <color indexed="81"/>
            <rFont val="Segoe UI"/>
            <family val="2"/>
          </rPr>
          <t>Rechtsangelegenheiten laufen über den AStA und erfordern eine Gegenzeichnung.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A00-000001000000}">
      <text>
        <r>
          <rPr>
            <b/>
            <sz val="9"/>
            <color indexed="81"/>
            <rFont val="Segoe UI"/>
            <family val="2"/>
          </rPr>
          <t>Alle Teilnahmebeiträge für Fachseminare</t>
        </r>
      </text>
    </comment>
    <comment ref="D6" authorId="0" shapeId="0" xr:uid="{00000000-0006-0000-0A00-000002000000}">
      <text>
        <r>
          <rPr>
            <b/>
            <sz val="9"/>
            <color indexed="81"/>
            <rFont val="Segoe UI"/>
            <family val="2"/>
          </rPr>
          <t>Fachschaftsexkursionen z.B., Workshop Großpuppenbau</t>
        </r>
      </text>
    </comment>
    <comment ref="D7" authorId="0" shapeId="0" xr:uid="{00000000-0006-0000-0A00-000003000000}">
      <text>
        <r>
          <rPr>
            <b/>
            <sz val="9"/>
            <color indexed="81"/>
            <rFont val="Segoe UI"/>
            <family val="2"/>
          </rPr>
          <t>Einnahmen aus Bewirtungen nur als durchlaufende Posten, hier nur noch nicht abgerechnete Vorauszahlungen.</t>
        </r>
      </text>
    </comment>
    <comment ref="D10" authorId="0" shapeId="0" xr:uid="{00000000-0006-0000-0A00-000004000000}">
      <text>
        <r>
          <rPr>
            <b/>
            <sz val="9"/>
            <color indexed="81"/>
            <rFont val="Segoe UI"/>
            <family val="2"/>
          </rPr>
          <t>Feststehender Posten gem. Satzung</t>
        </r>
      </text>
    </comment>
    <comment ref="D12" authorId="0" shapeId="0" xr:uid="{00000000-0006-0000-0A00-000005000000}">
      <text>
        <r>
          <rPr>
            <b/>
            <sz val="9"/>
            <color indexed="81"/>
            <rFont val="Segoe UI"/>
            <family val="2"/>
          </rPr>
          <t>Enthält alle FK und VP, die an FSR-Mitglieder und Ersatzmitglieder gezahlt werden.</t>
        </r>
      </text>
    </comment>
    <comment ref="D13" authorId="0" shapeId="0" xr:uid="{00000000-0006-0000-0A00-000006000000}">
      <text>
        <r>
          <rPr>
            <b/>
            <sz val="9"/>
            <color indexed="81"/>
            <rFont val="Segoe UI"/>
            <family val="2"/>
          </rPr>
          <t>Alle Raum. Und Unterkunftskosten für Interne. Bedient Sitzungen, Treffen, Reisen in Funktion u.ä.</t>
        </r>
      </text>
    </comment>
    <comment ref="D14" authorId="0" shapeId="0" xr:uid="{00000000-0006-0000-0A00-000007000000}">
      <text>
        <r>
          <rPr>
            <b/>
            <sz val="9"/>
            <color indexed="81"/>
            <rFont val="Segoe UI"/>
            <family val="2"/>
          </rPr>
          <t>Nur "Food", nicht "Non-Food".
Repräsentation: Bspw. Fachschaftskleidung</t>
        </r>
      </text>
    </comment>
    <comment ref="D15" authorId="0" shapeId="0" xr:uid="{00000000-0006-0000-0A00-000008000000}">
      <text>
        <r>
          <rPr>
            <b/>
            <sz val="9"/>
            <color indexed="81"/>
            <rFont val="Segoe UI"/>
            <family val="2"/>
          </rPr>
          <t>Hier nur die Honorare für Dozierende kostenpflichtiger Seminare für Studierende</t>
        </r>
      </text>
    </comment>
    <comment ref="D16" authorId="0" shapeId="0" xr:uid="{00000000-0006-0000-0A00-000009000000}">
      <text>
        <r>
          <rPr>
            <b/>
            <sz val="9"/>
            <color indexed="81"/>
            <rFont val="Segoe UI"/>
            <family val="2"/>
          </rPr>
          <t>Hier alle anderen Honorare für externe Dozierende. Z.B. kostenlose Seminare, Workshops, Vorträge...</t>
        </r>
      </text>
    </comment>
    <comment ref="D17" authorId="0" shapeId="0" xr:uid="{00000000-0006-0000-0A00-00000A000000}">
      <text>
        <r>
          <rPr>
            <b/>
            <sz val="9"/>
            <color indexed="81"/>
            <rFont val="Segoe UI"/>
            <family val="2"/>
          </rPr>
          <t>Alle RK-Erstattungen an Externe. Meist Doz. Präsenzseminare und andere Dozierende.</t>
        </r>
      </text>
    </comment>
    <comment ref="D18" authorId="0" shapeId="0" xr:uid="{00000000-0006-0000-0A00-00000B000000}">
      <text>
        <r>
          <rPr>
            <b/>
            <sz val="9"/>
            <color indexed="81"/>
            <rFont val="Segoe UI"/>
            <family val="2"/>
          </rPr>
          <t>Kaffee und Kekse für Präsenzseminare.
Ein Kasten Bier.
Empfänge. Wiwi-Eule.</t>
        </r>
      </text>
    </comment>
    <comment ref="D19" authorId="0" shapeId="0" xr:uid="{00000000-0006-0000-0A00-00000C000000}">
      <text>
        <r>
          <rPr>
            <b/>
            <sz val="9"/>
            <color indexed="81"/>
            <rFont val="Segoe UI"/>
            <family val="2"/>
          </rPr>
          <t>Unterkunft Doz., kostenpfl. Räume in der BHS oder anderswo.</t>
        </r>
      </text>
    </comment>
    <comment ref="D20" authorId="0" shapeId="0" xr:uid="{00000000-0006-0000-0A00-00000D000000}">
      <text>
        <r>
          <rPr>
            <b/>
            <sz val="9"/>
            <color indexed="81"/>
            <rFont val="Segoe UI"/>
            <family val="2"/>
          </rPr>
          <t>Alle Druckkosten</t>
        </r>
      </text>
    </comment>
    <comment ref="D21" authorId="0" shapeId="0" xr:uid="{00000000-0006-0000-0A00-00000E000000}">
      <text>
        <r>
          <rPr>
            <b/>
            <sz val="9"/>
            <color indexed="81"/>
            <rFont val="Segoe UI"/>
            <family val="2"/>
          </rPr>
          <t>Auch: Beteiligung an Versandkosten für Sprachrohr-Beilagen, Non-Food, Kleinanschaffungen</t>
        </r>
      </text>
    </comment>
    <comment ref="D22" authorId="0" shapeId="0" xr:uid="{00000000-0006-0000-0A00-00000F000000}">
      <text>
        <r>
          <rPr>
            <b/>
            <sz val="9"/>
            <color indexed="81"/>
            <rFont val="Segoe UI"/>
            <family val="2"/>
          </rPr>
          <t>Rechtsangelegenheiten laufen über den AStA und erfordern eine Gegenzeichnung.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B00-000001000000}">
      <text>
        <r>
          <rPr>
            <b/>
            <sz val="9"/>
            <color indexed="81"/>
            <rFont val="Segoe UI"/>
            <family val="2"/>
          </rPr>
          <t>Alle Teilnahmebeiträge für Fachseminare</t>
        </r>
      </text>
    </comment>
    <comment ref="D6" authorId="0" shapeId="0" xr:uid="{00000000-0006-0000-0B00-000002000000}">
      <text>
        <r>
          <rPr>
            <b/>
            <sz val="9"/>
            <color indexed="81"/>
            <rFont val="Segoe UI"/>
            <family val="2"/>
          </rPr>
          <t>Fachschaftsexkursionen z.B., Workshop Großpuppenbau</t>
        </r>
      </text>
    </comment>
    <comment ref="D7" authorId="0" shapeId="0" xr:uid="{00000000-0006-0000-0B00-000003000000}">
      <text>
        <r>
          <rPr>
            <b/>
            <sz val="9"/>
            <color indexed="81"/>
            <rFont val="Segoe UI"/>
            <family val="2"/>
          </rPr>
          <t>Einnahmen aus Bewirtungen nur als durchlaufende Posten, hier nur noch nicht abgerechnete Vorauszahlungen.</t>
        </r>
      </text>
    </comment>
    <comment ref="D10" authorId="0" shapeId="0" xr:uid="{00000000-0006-0000-0B00-000004000000}">
      <text>
        <r>
          <rPr>
            <b/>
            <sz val="9"/>
            <color indexed="81"/>
            <rFont val="Segoe UI"/>
            <family val="2"/>
          </rPr>
          <t>Feststehender Posten gem. Satzung</t>
        </r>
      </text>
    </comment>
    <comment ref="D12" authorId="0" shapeId="0" xr:uid="{00000000-0006-0000-0B00-000005000000}">
      <text>
        <r>
          <rPr>
            <b/>
            <sz val="9"/>
            <color indexed="81"/>
            <rFont val="Segoe UI"/>
            <family val="2"/>
          </rPr>
          <t>Enthält alle FK und VP, die an FSR-Mitglieder und Ersatzmitglieder gezahlt werden.</t>
        </r>
      </text>
    </comment>
    <comment ref="D13" authorId="0" shapeId="0" xr:uid="{00000000-0006-0000-0B00-000006000000}">
      <text>
        <r>
          <rPr>
            <b/>
            <sz val="9"/>
            <color indexed="81"/>
            <rFont val="Segoe UI"/>
            <family val="2"/>
          </rPr>
          <t>Alle Raum. Und Unterkunftskosten für Interne. Bedient Sitzungen, Treffen, Reisen in Funktion u.ä.</t>
        </r>
      </text>
    </comment>
    <comment ref="D14" authorId="0" shapeId="0" xr:uid="{00000000-0006-0000-0B00-000007000000}">
      <text>
        <r>
          <rPr>
            <b/>
            <sz val="9"/>
            <color indexed="81"/>
            <rFont val="Segoe UI"/>
            <family val="2"/>
          </rPr>
          <t>Nur "Food", nicht "Non-Food".
Repräsentation: Bspw. Fachschaftskleidung</t>
        </r>
      </text>
    </comment>
    <comment ref="D15" authorId="0" shapeId="0" xr:uid="{00000000-0006-0000-0B00-000008000000}">
      <text>
        <r>
          <rPr>
            <b/>
            <sz val="9"/>
            <color indexed="81"/>
            <rFont val="Segoe UI"/>
            <family val="2"/>
          </rPr>
          <t>Hier nur die Honorare für Dozierende kostenpflichtiger Seminare für Studierende</t>
        </r>
      </text>
    </comment>
    <comment ref="D16" authorId="0" shapeId="0" xr:uid="{00000000-0006-0000-0B00-000009000000}">
      <text>
        <r>
          <rPr>
            <b/>
            <sz val="9"/>
            <color indexed="81"/>
            <rFont val="Segoe UI"/>
            <family val="2"/>
          </rPr>
          <t>Hier alle anderen Honorare für externe Dozierende. Z.B. kostenlose Seminare, Workshops, Vorträge...</t>
        </r>
      </text>
    </comment>
    <comment ref="D17" authorId="0" shapeId="0" xr:uid="{00000000-0006-0000-0B00-00000A000000}">
      <text>
        <r>
          <rPr>
            <b/>
            <sz val="9"/>
            <color indexed="81"/>
            <rFont val="Segoe UI"/>
            <family val="2"/>
          </rPr>
          <t>Alle RK-Erstattungen an Externe. Meist Doz. Präsenzseminare und andere Dozierende.</t>
        </r>
      </text>
    </comment>
    <comment ref="D18" authorId="0" shapeId="0" xr:uid="{00000000-0006-0000-0B00-00000B000000}">
      <text>
        <r>
          <rPr>
            <b/>
            <sz val="9"/>
            <color indexed="81"/>
            <rFont val="Segoe UI"/>
            <family val="2"/>
          </rPr>
          <t>Kaffee und Kekse für Präsenzseminare.
Ein Kasten Bier.
Empfänge. Wiwi-Eule.</t>
        </r>
      </text>
    </comment>
    <comment ref="D19" authorId="0" shapeId="0" xr:uid="{00000000-0006-0000-0B00-00000C000000}">
      <text>
        <r>
          <rPr>
            <b/>
            <sz val="9"/>
            <color indexed="81"/>
            <rFont val="Segoe UI"/>
            <family val="2"/>
          </rPr>
          <t>Unterkunft Doz., kostenpfl. Räume in der BHS oder anderswo.</t>
        </r>
      </text>
    </comment>
    <comment ref="D20" authorId="0" shapeId="0" xr:uid="{00000000-0006-0000-0B00-00000D000000}">
      <text>
        <r>
          <rPr>
            <b/>
            <sz val="9"/>
            <color indexed="81"/>
            <rFont val="Segoe UI"/>
            <family val="2"/>
          </rPr>
          <t>Alle Druckkosten</t>
        </r>
      </text>
    </comment>
    <comment ref="D21" authorId="0" shapeId="0" xr:uid="{00000000-0006-0000-0B00-00000E000000}">
      <text>
        <r>
          <rPr>
            <b/>
            <sz val="9"/>
            <color indexed="81"/>
            <rFont val="Segoe UI"/>
            <family val="2"/>
          </rPr>
          <t>Auch: Beteiligung an Versandkosten für Sprachrohr-Beilagen, Non-Food, Kleinanschaffungen</t>
        </r>
      </text>
    </comment>
    <comment ref="D22" authorId="0" shapeId="0" xr:uid="{00000000-0006-0000-0B00-00000F000000}">
      <text>
        <r>
          <rPr>
            <b/>
            <sz val="9"/>
            <color indexed="81"/>
            <rFont val="Segoe UI"/>
            <family val="2"/>
          </rPr>
          <t>Rechtsangelegenheiten laufen über den AStA und erfordern eine Gegenzeichnung.</t>
        </r>
      </text>
    </comment>
    <comment ref="D41" authorId="0" shapeId="0" xr:uid="{00000000-0006-0000-0B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8" authorId="0" shapeId="0" xr:uid="{00000000-0006-0000-0B00-000011000000}">
      <text>
        <r>
          <rPr>
            <b/>
            <sz val="9"/>
            <color indexed="81"/>
            <rFont val="Segoe UI"/>
            <family val="2"/>
          </rPr>
          <t>Alle Maßnahmen, Tätigkeiten, Kleinanschaffungen, Exkursionen und Vergleichbares</t>
        </r>
      </text>
    </comment>
    <comment ref="U58" authorId="0" shapeId="0" xr:uid="{00000000-0006-0000-0B00-000012000000}">
      <text>
        <r>
          <rPr>
            <b/>
            <sz val="9"/>
            <color indexed="81"/>
            <rFont val="Segoe UI"/>
            <family val="2"/>
          </rPr>
          <t>Alle Maßnahmen, Tätigkeiten, Kleinanschaffungen, Exkursionen und Vergleichbares</t>
        </r>
      </text>
    </comment>
    <comment ref="D76" authorId="0" shapeId="0" xr:uid="{00000000-0006-0000-0B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6" authorId="0" shapeId="0" xr:uid="{00000000-0006-0000-0B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C00-000001000000}">
      <text>
        <r>
          <rPr>
            <b/>
            <sz val="9"/>
            <color indexed="81"/>
            <rFont val="Segoe UI"/>
            <family val="2"/>
          </rPr>
          <t>Alle Teilnahmebeiträge für Fachseminare</t>
        </r>
      </text>
    </comment>
    <comment ref="D6" authorId="0" shapeId="0" xr:uid="{00000000-0006-0000-0C00-000002000000}">
      <text>
        <r>
          <rPr>
            <b/>
            <sz val="9"/>
            <color indexed="81"/>
            <rFont val="Segoe UI"/>
            <family val="2"/>
          </rPr>
          <t>Fachschaftsexkursionen z.B., Workshop Großpuppenbau</t>
        </r>
      </text>
    </comment>
    <comment ref="D7" authorId="0" shapeId="0" xr:uid="{00000000-0006-0000-0C00-000003000000}">
      <text>
        <r>
          <rPr>
            <b/>
            <sz val="9"/>
            <color indexed="81"/>
            <rFont val="Segoe UI"/>
            <family val="2"/>
          </rPr>
          <t>Einnahmen aus Bewirtungen nur als durchlaufende Posten, hier nur noch nicht abgerechnete Vorauszahlungen.</t>
        </r>
      </text>
    </comment>
    <comment ref="D10" authorId="0" shapeId="0" xr:uid="{00000000-0006-0000-0C00-000004000000}">
      <text>
        <r>
          <rPr>
            <b/>
            <sz val="9"/>
            <color indexed="81"/>
            <rFont val="Segoe UI"/>
            <family val="2"/>
          </rPr>
          <t>Feststehender Posten gem. Satzung</t>
        </r>
      </text>
    </comment>
    <comment ref="D12" authorId="0" shapeId="0" xr:uid="{00000000-0006-0000-0C00-000005000000}">
      <text>
        <r>
          <rPr>
            <b/>
            <sz val="9"/>
            <color indexed="81"/>
            <rFont val="Segoe UI"/>
            <family val="2"/>
          </rPr>
          <t>Enthält alle FK und VP, die an FSR-Mitglieder und Ersatzmitglieder gezahlt werden.</t>
        </r>
      </text>
    </comment>
    <comment ref="D13" authorId="0" shapeId="0" xr:uid="{00000000-0006-0000-0C00-000006000000}">
      <text>
        <r>
          <rPr>
            <b/>
            <sz val="9"/>
            <color indexed="81"/>
            <rFont val="Segoe UI"/>
            <family val="2"/>
          </rPr>
          <t>Alle Raum. Und Unterkunftskosten für Interne. Bedient Sitzungen, Treffen, Reisen in Funktion u.ä.</t>
        </r>
      </text>
    </comment>
    <comment ref="D14" authorId="0" shapeId="0" xr:uid="{00000000-0006-0000-0C00-000007000000}">
      <text>
        <r>
          <rPr>
            <b/>
            <sz val="9"/>
            <color indexed="81"/>
            <rFont val="Segoe UI"/>
            <family val="2"/>
          </rPr>
          <t>Nur "Food", nicht "Non-Food".
Repräsentation: Bspw. Fachschaftskleidung</t>
        </r>
      </text>
    </comment>
    <comment ref="D15" authorId="0" shapeId="0" xr:uid="{00000000-0006-0000-0C00-000008000000}">
      <text>
        <r>
          <rPr>
            <b/>
            <sz val="9"/>
            <color indexed="81"/>
            <rFont val="Segoe UI"/>
            <family val="2"/>
          </rPr>
          <t>Hier nur die Honorare für Dozierende kostenpflichtiger Seminare für Studierende</t>
        </r>
      </text>
    </comment>
    <comment ref="D16" authorId="0" shapeId="0" xr:uid="{00000000-0006-0000-0C00-000009000000}">
      <text>
        <r>
          <rPr>
            <b/>
            <sz val="9"/>
            <color indexed="81"/>
            <rFont val="Segoe UI"/>
            <family val="2"/>
          </rPr>
          <t>Hier alle anderen Honorare für externe Dozierende. Z.B. kostenlose Seminare, Workshops, Vorträge...</t>
        </r>
      </text>
    </comment>
    <comment ref="D17" authorId="0" shapeId="0" xr:uid="{00000000-0006-0000-0C00-00000A000000}">
      <text>
        <r>
          <rPr>
            <b/>
            <sz val="9"/>
            <color indexed="81"/>
            <rFont val="Segoe UI"/>
            <family val="2"/>
          </rPr>
          <t>Alle RK-Erstattungen an Externe. Meist Doz. Präsenzseminare und andere Dozierende.</t>
        </r>
      </text>
    </comment>
    <comment ref="D18" authorId="0" shapeId="0" xr:uid="{00000000-0006-0000-0C00-00000B000000}">
      <text>
        <r>
          <rPr>
            <b/>
            <sz val="9"/>
            <color indexed="81"/>
            <rFont val="Segoe UI"/>
            <family val="2"/>
          </rPr>
          <t>Kaffee und Kekse für Präsenzseminare.
Ein Kasten Bier.
Empfänge. Wiwi-Eule.</t>
        </r>
      </text>
    </comment>
    <comment ref="D19" authorId="0" shapeId="0" xr:uid="{00000000-0006-0000-0C00-00000C000000}">
      <text>
        <r>
          <rPr>
            <b/>
            <sz val="9"/>
            <color indexed="81"/>
            <rFont val="Segoe UI"/>
            <family val="2"/>
          </rPr>
          <t>Unterkunft Doz., kostenpfl. Räume in der BHS oder anderswo.</t>
        </r>
      </text>
    </comment>
    <comment ref="D20" authorId="0" shapeId="0" xr:uid="{00000000-0006-0000-0C00-00000D000000}">
      <text>
        <r>
          <rPr>
            <b/>
            <sz val="9"/>
            <color indexed="81"/>
            <rFont val="Segoe UI"/>
            <family val="2"/>
          </rPr>
          <t>Alle Druckkosten</t>
        </r>
      </text>
    </comment>
    <comment ref="D21" authorId="0" shapeId="0" xr:uid="{00000000-0006-0000-0C00-00000E000000}">
      <text>
        <r>
          <rPr>
            <b/>
            <sz val="9"/>
            <color indexed="81"/>
            <rFont val="Segoe UI"/>
            <family val="2"/>
          </rPr>
          <t>Auch: Beteiligung an Versandkosten für Sprachrohr-Beilagen, Non-Food, Kleinanschaffungen</t>
        </r>
      </text>
    </comment>
    <comment ref="D22" authorId="0" shapeId="0" xr:uid="{00000000-0006-0000-0C00-00000F000000}">
      <text>
        <r>
          <rPr>
            <b/>
            <sz val="9"/>
            <color indexed="81"/>
            <rFont val="Segoe UI"/>
            <family val="2"/>
          </rPr>
          <t>Rechtsangelegenheiten laufen über den AStA und erfordern eine Gegenzeichnung.</t>
        </r>
      </text>
    </comment>
    <comment ref="D32" authorId="0" shapeId="0" xr:uid="{00000000-0006-0000-0C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0" authorId="0" shapeId="0" xr:uid="{00000000-0006-0000-0C00-000011000000}">
      <text>
        <r>
          <rPr>
            <b/>
            <sz val="9"/>
            <color indexed="81"/>
            <rFont val="Segoe UI"/>
            <family val="2"/>
          </rPr>
          <t>Alle Maßnahmen, Tätigkeiten, Kleinanschaffungen, Exkursionen und Vergleichbares</t>
        </r>
      </text>
    </comment>
    <comment ref="U50" authorId="0" shapeId="0" xr:uid="{00000000-0006-0000-0C00-000012000000}">
      <text>
        <r>
          <rPr>
            <b/>
            <sz val="9"/>
            <color indexed="81"/>
            <rFont val="Segoe UI"/>
            <family val="2"/>
          </rPr>
          <t>Alle Maßnahmen, Tätigkeiten, Kleinanschaffungen, Exkursionen und Vergleichbares</t>
        </r>
      </text>
    </comment>
    <comment ref="D68" authorId="0" shapeId="0" xr:uid="{00000000-0006-0000-0C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8" authorId="0" shapeId="0" xr:uid="{00000000-0006-0000-0C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F00-000001000000}">
      <text>
        <r>
          <rPr>
            <b/>
            <sz val="9"/>
            <color indexed="81"/>
            <rFont val="Segoe UI"/>
            <family val="2"/>
          </rPr>
          <t>Alle Teilnahmebeiträge für Fachseminare</t>
        </r>
      </text>
    </comment>
    <comment ref="D6" authorId="0" shapeId="0" xr:uid="{00000000-0006-0000-0F00-000002000000}">
      <text>
        <r>
          <rPr>
            <b/>
            <sz val="9"/>
            <color indexed="81"/>
            <rFont val="Segoe UI"/>
            <family val="2"/>
          </rPr>
          <t>Fachschaftsexkursionen z.B., Workshop Großpuppenbau</t>
        </r>
      </text>
    </comment>
    <comment ref="D7" authorId="0" shapeId="0" xr:uid="{00000000-0006-0000-0F00-000003000000}">
      <text>
        <r>
          <rPr>
            <b/>
            <sz val="9"/>
            <color indexed="81"/>
            <rFont val="Segoe UI"/>
            <family val="2"/>
          </rPr>
          <t>Einnahmen aus Bewirtungen nur als durchlaufende Posten, hier nur noch nicht abgerechnete Vorauszahlungen.</t>
        </r>
      </text>
    </comment>
    <comment ref="D10" authorId="0" shapeId="0" xr:uid="{00000000-0006-0000-0F00-000004000000}">
      <text>
        <r>
          <rPr>
            <b/>
            <sz val="9"/>
            <color indexed="81"/>
            <rFont val="Segoe UI"/>
            <family val="2"/>
          </rPr>
          <t>Feststehender Posten gem. Satzung</t>
        </r>
      </text>
    </comment>
    <comment ref="D12" authorId="0" shapeId="0" xr:uid="{00000000-0006-0000-0F00-000005000000}">
      <text>
        <r>
          <rPr>
            <b/>
            <sz val="9"/>
            <color rgb="FF000000"/>
            <rFont val="Segoe UI"/>
            <family val="2"/>
            <charset val="1"/>
          </rPr>
          <t>Enthält alle FK und VP, die an FSR-Mitglieder und Ersatzmitglieder gezahlt werden.</t>
        </r>
      </text>
    </comment>
    <comment ref="D13" authorId="0" shapeId="0" xr:uid="{00000000-0006-0000-0F00-000006000000}">
      <text>
        <r>
          <rPr>
            <b/>
            <sz val="9"/>
            <color rgb="FF000000"/>
            <rFont val="Segoe UI"/>
            <family val="2"/>
            <charset val="1"/>
          </rPr>
          <t>Alle Raum. Und Unterkunftskosten für Interne. Bedient Sitzungen, Treffen, Reisen in Funktion u.ä.</t>
        </r>
      </text>
    </comment>
    <comment ref="D14" authorId="0" shapeId="0" xr:uid="{00000000-0006-0000-0F00-000007000000}">
      <text>
        <r>
          <rPr>
            <b/>
            <sz val="9"/>
            <color indexed="81"/>
            <rFont val="Segoe UI"/>
            <family val="2"/>
          </rPr>
          <t>Nur "Food", nicht "Non-Food".
Repräsentation: Bspw. Fachschaftskleidung</t>
        </r>
      </text>
    </comment>
    <comment ref="D15" authorId="0" shapeId="0" xr:uid="{00000000-0006-0000-0F00-000008000000}">
      <text>
        <r>
          <rPr>
            <b/>
            <sz val="9"/>
            <color indexed="81"/>
            <rFont val="Segoe UI"/>
            <family val="2"/>
          </rPr>
          <t>Hier nur die Honorare für Dozierende kostenpflichtiger Seminare für Studierende</t>
        </r>
      </text>
    </comment>
    <comment ref="D16" authorId="0" shapeId="0" xr:uid="{00000000-0006-0000-0F00-000009000000}">
      <text>
        <r>
          <rPr>
            <b/>
            <sz val="9"/>
            <color indexed="81"/>
            <rFont val="Segoe UI"/>
            <family val="2"/>
          </rPr>
          <t>Hier alle anderen Honorare für externe Dozierende. Z.B. kostenlose Seminare, Workshops, Vorträge...</t>
        </r>
      </text>
    </comment>
    <comment ref="D17" authorId="0" shapeId="0" xr:uid="{00000000-0006-0000-0F00-00000A000000}">
      <text>
        <r>
          <rPr>
            <b/>
            <sz val="9"/>
            <color indexed="81"/>
            <rFont val="Segoe UI"/>
            <family val="2"/>
          </rPr>
          <t>Alle RK-Erstattungen an Externe. Meist Doz. Präsenzseminare und andere Dozierende.</t>
        </r>
      </text>
    </comment>
    <comment ref="D18" authorId="0" shapeId="0" xr:uid="{00000000-0006-0000-0F00-00000B000000}">
      <text>
        <r>
          <rPr>
            <b/>
            <sz val="9"/>
            <color indexed="81"/>
            <rFont val="Segoe UI"/>
            <family val="2"/>
          </rPr>
          <t>Kaffee und Kekse für Präsenzseminare.
Ein Kasten Bier.
Empfänge. Wiwi-Eule.</t>
        </r>
      </text>
    </comment>
    <comment ref="D19" authorId="0" shapeId="0" xr:uid="{00000000-0006-0000-0F00-00000C000000}">
      <text>
        <r>
          <rPr>
            <b/>
            <sz val="9"/>
            <color indexed="81"/>
            <rFont val="Segoe UI"/>
            <family val="2"/>
          </rPr>
          <t>Unterkunft Doz., kostenpfl. Räume in der BHS oder anderswo.</t>
        </r>
      </text>
    </comment>
    <comment ref="D20" authorId="0" shapeId="0" xr:uid="{00000000-0006-0000-0F00-00000D000000}">
      <text>
        <r>
          <rPr>
            <b/>
            <sz val="9"/>
            <color indexed="81"/>
            <rFont val="Segoe UI"/>
            <family val="2"/>
          </rPr>
          <t>Alle Druckkosten</t>
        </r>
      </text>
    </comment>
    <comment ref="D21" authorId="0" shapeId="0" xr:uid="{00000000-0006-0000-0F00-00000E000000}">
      <text>
        <r>
          <rPr>
            <b/>
            <sz val="9"/>
            <color indexed="81"/>
            <rFont val="Segoe UI"/>
            <family val="2"/>
          </rPr>
          <t>Auch: Beteiligung an Versandkosten für Sprachrohr-Beilagen, Non-Food, Kleinanschaffungen</t>
        </r>
      </text>
    </comment>
    <comment ref="D22" authorId="0" shapeId="0" xr:uid="{00000000-0006-0000-0F00-00000F000000}">
      <text>
        <r>
          <rPr>
            <b/>
            <sz val="9"/>
            <color indexed="81"/>
            <rFont val="Segoe UI"/>
            <family val="2"/>
          </rPr>
          <t>Rechtsangelegenheiten laufen über den AStA und erfordern eine Gegenzeichnung.</t>
        </r>
      </text>
    </comment>
    <comment ref="D32" authorId="0" shapeId="0" xr:uid="{00000000-0006-0000-0F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6" authorId="0" shapeId="0" xr:uid="{00000000-0006-0000-0F00-000011000000}">
      <text>
        <r>
          <rPr>
            <b/>
            <sz val="9"/>
            <color indexed="81"/>
            <rFont val="Segoe UI"/>
            <family val="2"/>
          </rPr>
          <t>Alle Maßnahmen, Tätigkeiten, Kleinanschaffungen, Exkursionen und Vergleichbares</t>
        </r>
      </text>
    </comment>
    <comment ref="U46" authorId="0" shapeId="0" xr:uid="{00000000-0006-0000-0F00-000012000000}">
      <text>
        <r>
          <rPr>
            <b/>
            <sz val="9"/>
            <color indexed="81"/>
            <rFont val="Segoe UI"/>
            <family val="2"/>
          </rPr>
          <t>Alle Maßnahmen, Tätigkeiten, Kleinanschaffungen, Exkursionen und Vergleichbares</t>
        </r>
      </text>
    </comment>
    <comment ref="D64" authorId="0" shapeId="0" xr:uid="{00000000-0006-0000-0F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4" authorId="0" shapeId="0" xr:uid="{00000000-0006-0000-0F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000-000001000000}">
      <text>
        <r>
          <rPr>
            <b/>
            <sz val="9"/>
            <color indexed="81"/>
            <rFont val="Segoe UI"/>
            <family val="2"/>
          </rPr>
          <t>Alle Teilnahmebeiträge für Fachseminare</t>
        </r>
      </text>
    </comment>
    <comment ref="D6" authorId="0" shapeId="0" xr:uid="{00000000-0006-0000-1000-000002000000}">
      <text>
        <r>
          <rPr>
            <b/>
            <sz val="9"/>
            <color indexed="81"/>
            <rFont val="Segoe UI"/>
            <family val="2"/>
          </rPr>
          <t>Fachschaftsexkursionen z.B., Workshop Großpuppenbau</t>
        </r>
      </text>
    </comment>
    <comment ref="D7" authorId="0" shapeId="0" xr:uid="{00000000-0006-0000-1000-000003000000}">
      <text>
        <r>
          <rPr>
            <b/>
            <sz val="9"/>
            <color indexed="81"/>
            <rFont val="Segoe UI"/>
            <family val="2"/>
          </rPr>
          <t>Einnahmen aus Bewirtungen nur als durchlaufende Posten, hier nur noch nicht abgerechnete Vorauszahlungen.</t>
        </r>
      </text>
    </comment>
    <comment ref="D10" authorId="0" shapeId="0" xr:uid="{00000000-0006-0000-1000-000004000000}">
      <text>
        <r>
          <rPr>
            <b/>
            <sz val="9"/>
            <color indexed="81"/>
            <rFont val="Segoe UI"/>
            <family val="2"/>
          </rPr>
          <t>Feststehender Posten gem. Satzung</t>
        </r>
      </text>
    </comment>
    <comment ref="D12" authorId="0" shapeId="0" xr:uid="{00000000-0006-0000-1000-000005000000}">
      <text>
        <r>
          <rPr>
            <b/>
            <sz val="9"/>
            <color indexed="81"/>
            <rFont val="Segoe UI"/>
            <family val="2"/>
          </rPr>
          <t>Enthält alle FK und VP, die an FSR-Mitglieder und Ersatzmitglieder gezahlt werden.</t>
        </r>
      </text>
    </comment>
    <comment ref="D13" authorId="0" shapeId="0" xr:uid="{00000000-0006-0000-1000-000006000000}">
      <text>
        <r>
          <rPr>
            <b/>
            <sz val="9"/>
            <color indexed="81"/>
            <rFont val="Segoe UI"/>
            <family val="2"/>
          </rPr>
          <t>Alle Raum. Und Unterkunftskosten für Interne. Bedient Sitzungen, Treffen, Reisen in Funktion u.ä.</t>
        </r>
      </text>
    </comment>
    <comment ref="D14" authorId="0" shapeId="0" xr:uid="{00000000-0006-0000-1000-000007000000}">
      <text>
        <r>
          <rPr>
            <b/>
            <sz val="9"/>
            <color indexed="81"/>
            <rFont val="Segoe UI"/>
            <family val="2"/>
          </rPr>
          <t>Nur "Food", nicht "Non-Food".
Repräsentation: Bspw. Fachschaftskleidung</t>
        </r>
      </text>
    </comment>
    <comment ref="D15" authorId="0" shapeId="0" xr:uid="{00000000-0006-0000-1000-000008000000}">
      <text>
        <r>
          <rPr>
            <b/>
            <sz val="9"/>
            <color indexed="81"/>
            <rFont val="Segoe UI"/>
            <family val="2"/>
          </rPr>
          <t>Hier nur die Honorare für Dozierende kostenpflichtiger Seminare für Studierende</t>
        </r>
      </text>
    </comment>
    <comment ref="D16" authorId="0" shapeId="0" xr:uid="{00000000-0006-0000-1000-000009000000}">
      <text>
        <r>
          <rPr>
            <b/>
            <sz val="9"/>
            <color indexed="81"/>
            <rFont val="Segoe UI"/>
            <family val="2"/>
          </rPr>
          <t>Hier alle anderen Honorare für externe Dozierende. Z.B. kostenlose Seminare, Workshops, Vorträge...</t>
        </r>
      </text>
    </comment>
    <comment ref="D17" authorId="0" shapeId="0" xr:uid="{00000000-0006-0000-1000-00000A000000}">
      <text>
        <r>
          <rPr>
            <b/>
            <sz val="9"/>
            <color indexed="81"/>
            <rFont val="Segoe UI"/>
            <family val="2"/>
          </rPr>
          <t>Alle RK-Erstattungen an Externe. Meist Doz. Präsenzseminare und andere Dozierende.</t>
        </r>
      </text>
    </comment>
    <comment ref="D18" authorId="0" shapeId="0" xr:uid="{00000000-0006-0000-1000-00000B000000}">
      <text>
        <r>
          <rPr>
            <b/>
            <sz val="9"/>
            <color indexed="81"/>
            <rFont val="Segoe UI"/>
            <family val="2"/>
          </rPr>
          <t>Kaffee und Kekse für Präsenzseminare.
Ein Kasten Bier.
Empfänge. Wiwi-Eule.</t>
        </r>
      </text>
    </comment>
    <comment ref="D19" authorId="0" shapeId="0" xr:uid="{00000000-0006-0000-1000-00000C000000}">
      <text>
        <r>
          <rPr>
            <b/>
            <sz val="9"/>
            <color indexed="81"/>
            <rFont val="Segoe UI"/>
            <family val="2"/>
          </rPr>
          <t>Unterkunft Doz., kostenpfl. Räume in der BHS oder anderswo.</t>
        </r>
      </text>
    </comment>
    <comment ref="D20" authorId="0" shapeId="0" xr:uid="{00000000-0006-0000-1000-00000D000000}">
      <text>
        <r>
          <rPr>
            <b/>
            <sz val="9"/>
            <color indexed="81"/>
            <rFont val="Segoe UI"/>
            <family val="2"/>
          </rPr>
          <t>Alle Druckkosten</t>
        </r>
      </text>
    </comment>
    <comment ref="D21" authorId="0" shapeId="0" xr:uid="{00000000-0006-0000-1000-00000E000000}">
      <text>
        <r>
          <rPr>
            <b/>
            <sz val="9"/>
            <color indexed="81"/>
            <rFont val="Segoe UI"/>
            <family val="2"/>
          </rPr>
          <t>Auch: Beteiligung an Versandkosten für Sprachrohr-Beilagen, Non-Food, Kleinanschaffungen</t>
        </r>
      </text>
    </comment>
    <comment ref="D22" authorId="0" shapeId="0" xr:uid="{00000000-0006-0000-1000-00000F000000}">
      <text>
        <r>
          <rPr>
            <b/>
            <sz val="9"/>
            <color indexed="81"/>
            <rFont val="Segoe UI"/>
            <family val="2"/>
          </rPr>
          <t>Rechtsangelegenheiten laufen über den AStA und erfordern eine Gegenzeichnung.</t>
        </r>
      </text>
    </comment>
    <comment ref="D32" authorId="0" shapeId="0" xr:uid="{00000000-0006-0000-10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7" authorId="0" shapeId="0" xr:uid="{00000000-0006-0000-1000-000011000000}">
      <text>
        <r>
          <rPr>
            <b/>
            <sz val="9"/>
            <color indexed="81"/>
            <rFont val="Segoe UI"/>
            <family val="2"/>
          </rPr>
          <t>Alle Maßnahmen, Tätigkeiten, Kleinanschaffungen, Exkursionen und Vergleichbares</t>
        </r>
      </text>
    </comment>
    <comment ref="D64" authorId="0" shapeId="0" xr:uid="{00000000-0006-0000-1000-000012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100-000001000000}">
      <text>
        <r>
          <rPr>
            <b/>
            <sz val="9"/>
            <color indexed="81"/>
            <rFont val="Segoe UI"/>
            <family val="2"/>
          </rPr>
          <t>Alle Teilnahmebeiträge für Fachseminare</t>
        </r>
      </text>
    </comment>
    <comment ref="D6" authorId="0" shapeId="0" xr:uid="{00000000-0006-0000-1100-000002000000}">
      <text>
        <r>
          <rPr>
            <b/>
            <sz val="9"/>
            <color indexed="81"/>
            <rFont val="Segoe UI"/>
            <family val="2"/>
          </rPr>
          <t>Fachschaftsexkursionen z.B., Workshop Großpuppenbau</t>
        </r>
      </text>
    </comment>
    <comment ref="D7" authorId="0" shapeId="0" xr:uid="{00000000-0006-0000-1100-000003000000}">
      <text>
        <r>
          <rPr>
            <b/>
            <sz val="9"/>
            <color indexed="81"/>
            <rFont val="Segoe UI"/>
            <family val="2"/>
          </rPr>
          <t>Einnahmen aus Bewirtungen nur als durchlaufende Posten, hier nur noch nicht abgerechnete Vorauszahlungen.</t>
        </r>
      </text>
    </comment>
    <comment ref="D10" authorId="0" shapeId="0" xr:uid="{00000000-0006-0000-1100-000004000000}">
      <text>
        <r>
          <rPr>
            <b/>
            <sz val="9"/>
            <color indexed="81"/>
            <rFont val="Segoe UI"/>
            <family val="2"/>
          </rPr>
          <t>Feststehender Posten gem. Satzung</t>
        </r>
      </text>
    </comment>
    <comment ref="D12" authorId="0" shapeId="0" xr:uid="{00000000-0006-0000-1100-000005000000}">
      <text>
        <r>
          <rPr>
            <b/>
            <sz val="9"/>
            <color indexed="81"/>
            <rFont val="Segoe UI"/>
            <family val="2"/>
          </rPr>
          <t>Enthält alle FK und VP, die an FSR-Mitglieder und Ersatzmitglieder gezahlt werden.</t>
        </r>
      </text>
    </comment>
    <comment ref="D13" authorId="0" shapeId="0" xr:uid="{00000000-0006-0000-1100-000006000000}">
      <text>
        <r>
          <rPr>
            <b/>
            <sz val="9"/>
            <color indexed="81"/>
            <rFont val="Segoe UI"/>
            <family val="2"/>
          </rPr>
          <t>Alle Raum. Und Unterkunftskosten für Interne. Bedient Sitzungen, Treffen, Reisen in Funktion u.ä.</t>
        </r>
      </text>
    </comment>
    <comment ref="D14" authorId="0" shapeId="0" xr:uid="{00000000-0006-0000-1100-000007000000}">
      <text>
        <r>
          <rPr>
            <b/>
            <sz val="9"/>
            <color indexed="81"/>
            <rFont val="Segoe UI"/>
            <family val="2"/>
          </rPr>
          <t>Nur "Food", nicht "Non-Food".
Repräsentation: Bspw. Fachschaftskleidung</t>
        </r>
      </text>
    </comment>
    <comment ref="D15" authorId="0" shapeId="0" xr:uid="{00000000-0006-0000-1100-000008000000}">
      <text>
        <r>
          <rPr>
            <b/>
            <sz val="9"/>
            <color indexed="81"/>
            <rFont val="Segoe UI"/>
            <family val="2"/>
          </rPr>
          <t>Hier nur die Honorare für Dozierende kostenpflichtiger Seminare für Studierende</t>
        </r>
      </text>
    </comment>
    <comment ref="D16" authorId="0" shapeId="0" xr:uid="{00000000-0006-0000-1100-000009000000}">
      <text>
        <r>
          <rPr>
            <b/>
            <sz val="9"/>
            <color indexed="81"/>
            <rFont val="Segoe UI"/>
            <family val="2"/>
          </rPr>
          <t>Hier alle anderen Honorare für externe Dozierende. Z.B. kostenlose Seminare, Workshops, Vorträge...</t>
        </r>
      </text>
    </comment>
    <comment ref="D17" authorId="0" shapeId="0" xr:uid="{00000000-0006-0000-1100-00000A000000}">
      <text>
        <r>
          <rPr>
            <b/>
            <sz val="9"/>
            <color indexed="81"/>
            <rFont val="Segoe UI"/>
            <family val="2"/>
          </rPr>
          <t>Alle RK-Erstattungen an Externe. Meist Doz. Präsenzseminare und andere Dozierende.</t>
        </r>
      </text>
    </comment>
    <comment ref="D18" authorId="0" shapeId="0" xr:uid="{00000000-0006-0000-1100-00000B000000}">
      <text>
        <r>
          <rPr>
            <b/>
            <sz val="9"/>
            <color indexed="81"/>
            <rFont val="Segoe UI"/>
            <family val="2"/>
          </rPr>
          <t>Kaffee und Kekse für Präsenzseminare.
Ein Kasten Bier.
Empfänge. Wiwi-Eule.</t>
        </r>
      </text>
    </comment>
    <comment ref="D19" authorId="0" shapeId="0" xr:uid="{00000000-0006-0000-1100-00000C000000}">
      <text>
        <r>
          <rPr>
            <b/>
            <sz val="9"/>
            <color indexed="81"/>
            <rFont val="Segoe UI"/>
            <family val="2"/>
          </rPr>
          <t>Unterkunft Doz., kostenpfl. Räume in der BHS oder anderswo.</t>
        </r>
      </text>
    </comment>
    <comment ref="D20" authorId="0" shapeId="0" xr:uid="{00000000-0006-0000-1100-00000D000000}">
      <text>
        <r>
          <rPr>
            <b/>
            <sz val="9"/>
            <color indexed="81"/>
            <rFont val="Segoe UI"/>
            <family val="2"/>
          </rPr>
          <t>Alle Druckkosten</t>
        </r>
      </text>
    </comment>
    <comment ref="D21" authorId="0" shapeId="0" xr:uid="{00000000-0006-0000-1100-00000E000000}">
      <text>
        <r>
          <rPr>
            <b/>
            <sz val="9"/>
            <color indexed="81"/>
            <rFont val="Segoe UI"/>
            <family val="2"/>
          </rPr>
          <t>Auch: Beteiligung an Versandkosten für Sprachrohr-Beilagen, Non-Food, Kleinanschaffungen</t>
        </r>
      </text>
    </comment>
    <comment ref="D22" authorId="0" shapeId="0" xr:uid="{00000000-0006-0000-1100-00000F000000}">
      <text>
        <r>
          <rPr>
            <b/>
            <sz val="9"/>
            <color indexed="81"/>
            <rFont val="Segoe UI"/>
            <family val="2"/>
          </rPr>
          <t>Rechtsangelegenheiten laufen über den AStA und erfordern eine Gegenzeichnung.</t>
        </r>
      </text>
    </comment>
    <comment ref="D32" authorId="0" shapeId="0" xr:uid="{00000000-0006-0000-11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U32" authorId="0" shapeId="0" xr:uid="{00000000-0006-0000-1100-000011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60" authorId="0" shapeId="0" xr:uid="{00000000-0006-0000-1100-000012000000}">
      <text>
        <r>
          <rPr>
            <b/>
            <sz val="9"/>
            <color indexed="81"/>
            <rFont val="Segoe UI"/>
            <family val="2"/>
          </rPr>
          <t>Alle Maßnahmen, Tätigkeiten, Kleinanschaffungen, Exkursionen und Vergleichbares</t>
        </r>
      </text>
    </comment>
    <comment ref="U60" authorId="0" shapeId="0" xr:uid="{00000000-0006-0000-1100-000013000000}">
      <text>
        <r>
          <rPr>
            <b/>
            <sz val="9"/>
            <color indexed="81"/>
            <rFont val="Segoe UI"/>
            <family val="2"/>
          </rPr>
          <t>Alle Maßnahmen, Tätigkeiten, Kleinanschaffungen, Exkursionen und Vergleichbares</t>
        </r>
      </text>
    </comment>
    <comment ref="D78" authorId="0" shapeId="0" xr:uid="{00000000-0006-0000-11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8" authorId="0" shapeId="0" xr:uid="{00000000-0006-0000-1100-000015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sharedStrings.xml><?xml version="1.0" encoding="utf-8"?>
<sst xmlns="http://schemas.openxmlformats.org/spreadsheetml/2006/main" count="5783" uniqueCount="1583">
  <si>
    <t>Einnahmen der Studierendenschaft</t>
  </si>
  <si>
    <t>Titel</t>
  </si>
  <si>
    <t>Spalte1</t>
  </si>
  <si>
    <t>Titel alt</t>
  </si>
  <si>
    <t>Kontenbezeichnung</t>
  </si>
  <si>
    <t>SOLL HHJ 22-23</t>
  </si>
  <si>
    <t>SOLL HHJ 21-22</t>
  </si>
  <si>
    <t>IST HHJ 21-22</t>
  </si>
  <si>
    <t>IST</t>
  </si>
  <si>
    <t>Anmerkungen</t>
  </si>
  <si>
    <t>Nr.</t>
  </si>
  <si>
    <t>Plan 1</t>
  </si>
  <si>
    <t>Einnahmen AStA und Studierendenparlament</t>
  </si>
  <si>
    <t>111.00</t>
  </si>
  <si>
    <t>Studierendenschaftsbeiträge</t>
  </si>
  <si>
    <t>111.10</t>
  </si>
  <si>
    <t>Wintersemester</t>
  </si>
  <si>
    <t>111.20</t>
  </si>
  <si>
    <t>Sommersemester</t>
  </si>
  <si>
    <t>119.00</t>
  </si>
  <si>
    <t>Vermischte Einnahmen</t>
  </si>
  <si>
    <t>119.10</t>
  </si>
  <si>
    <t>125.10, 125.20</t>
  </si>
  <si>
    <t>Werbung und Anzeigen</t>
  </si>
  <si>
    <t>119.20</t>
  </si>
  <si>
    <t>Spenden</t>
  </si>
  <si>
    <t>119.30</t>
  </si>
  <si>
    <t>162.00</t>
  </si>
  <si>
    <t>Zinsen</t>
  </si>
  <si>
    <t>119.40</t>
  </si>
  <si>
    <t>119.22</t>
  </si>
  <si>
    <t>Sonstige</t>
  </si>
  <si>
    <t>129.00</t>
  </si>
  <si>
    <t>Teilnahmebeiträge</t>
  </si>
  <si>
    <t>129.10</t>
  </si>
  <si>
    <t>129.70 (x0,2)</t>
  </si>
  <si>
    <t>AStA Seminare</t>
  </si>
  <si>
    <t>129.20</t>
  </si>
  <si>
    <t>129.70 (x0,8), 129.80 (x0,25), 129.90 (x0,55)</t>
  </si>
  <si>
    <t>AStA-Veranstaltungen</t>
  </si>
  <si>
    <t>129.30</t>
  </si>
  <si>
    <t>n.a.</t>
  </si>
  <si>
    <t>Stupa-Veranstaltungen</t>
  </si>
  <si>
    <t>130.00</t>
  </si>
  <si>
    <t>Einnahmen aus Bewirtung</t>
  </si>
  <si>
    <t>130.10</t>
  </si>
  <si>
    <t>AStA</t>
  </si>
  <si>
    <t>130.20</t>
  </si>
  <si>
    <t>SP-Veranstaltungen</t>
  </si>
  <si>
    <t>140.00</t>
  </si>
  <si>
    <t>Einnahmen aus Förderungen und Kooperationen</t>
  </si>
  <si>
    <t>140.10</t>
  </si>
  <si>
    <t>129.80 (x0,75)</t>
  </si>
  <si>
    <t>Förderungen Inkl. U. Gleichstellung</t>
  </si>
  <si>
    <t>140.20</t>
  </si>
  <si>
    <t>129.90 (x0,45)</t>
  </si>
  <si>
    <t>Förderungen Hopo</t>
  </si>
  <si>
    <t>140.30</t>
  </si>
  <si>
    <t>Sonstige Förderungen und Kooperationen</t>
  </si>
  <si>
    <t>182.00</t>
  </si>
  <si>
    <t>Darlehensrückflüsse</t>
  </si>
  <si>
    <t>182.10</t>
  </si>
  <si>
    <t>Aus Darlehen</t>
  </si>
  <si>
    <t>182.20</t>
  </si>
  <si>
    <t>Aus Internationalisierungsdarlehen</t>
  </si>
  <si>
    <t>Plan 2</t>
  </si>
  <si>
    <t>Einnahmen Fachschaften</t>
  </si>
  <si>
    <t>210.00</t>
  </si>
  <si>
    <t>Teilnahmebeiträge Seminare Fachschaften</t>
  </si>
  <si>
    <t>210.10</t>
  </si>
  <si>
    <t>FSR WiWi</t>
  </si>
  <si>
    <t>210.20</t>
  </si>
  <si>
    <t>FSR KSW</t>
  </si>
  <si>
    <t>210.30</t>
  </si>
  <si>
    <t>129.60</t>
  </si>
  <si>
    <t>FSR PSY</t>
  </si>
  <si>
    <t>210.40</t>
  </si>
  <si>
    <t>129.40</t>
  </si>
  <si>
    <t>FSR ReWi</t>
  </si>
  <si>
    <t>210.50</t>
  </si>
  <si>
    <t>FSR M+I</t>
  </si>
  <si>
    <t>220.00</t>
  </si>
  <si>
    <t>Teilnahmebeiträge Veranstaltungen Fachschaften</t>
  </si>
  <si>
    <t>220.10</t>
  </si>
  <si>
    <t>220.20</t>
  </si>
  <si>
    <t>220.30</t>
  </si>
  <si>
    <t>220.40</t>
  </si>
  <si>
    <t>220.50</t>
  </si>
  <si>
    <t>230.00</t>
  </si>
  <si>
    <t>Sonstige (Werbung, Förderungen, Bewirtung)</t>
  </si>
  <si>
    <t>230.10</t>
  </si>
  <si>
    <t>230.20</t>
  </si>
  <si>
    <t>230.30</t>
  </si>
  <si>
    <t>230.40</t>
  </si>
  <si>
    <t>230.50</t>
  </si>
  <si>
    <t>Plan 3</t>
  </si>
  <si>
    <t>Rücklagen, Vorjahresvortrag, durchlaufende Gelder</t>
  </si>
  <si>
    <t>352.00</t>
  </si>
  <si>
    <t>Entnahmen aus der Rücklage</t>
  </si>
  <si>
    <t>352.10</t>
  </si>
  <si>
    <t>Allgemeine Rücklage</t>
  </si>
  <si>
    <t>352.20</t>
  </si>
  <si>
    <t>353.00</t>
  </si>
  <si>
    <t>Sonderrücklage Wahlen</t>
  </si>
  <si>
    <t>352.30</t>
  </si>
  <si>
    <t>Schwankungsrücklage Wahlen</t>
  </si>
  <si>
    <t>360.00</t>
  </si>
  <si>
    <t>Vorjahresvortrag</t>
  </si>
  <si>
    <t>360.10</t>
  </si>
  <si>
    <t>Überschuss Vorjahr</t>
  </si>
  <si>
    <t>360.20</t>
  </si>
  <si>
    <t>Sonstige Vorträge</t>
  </si>
  <si>
    <t>380.00</t>
  </si>
  <si>
    <t>Kautionen, Durchlaufende Gelder AStA</t>
  </si>
  <si>
    <t>382.10</t>
  </si>
  <si>
    <t>Kautionen Materialverleih</t>
  </si>
  <si>
    <t>382.20</t>
  </si>
  <si>
    <t>Vorverkaufseinnahmen Bewirtung</t>
  </si>
  <si>
    <t>Einnahmen Gesamt</t>
  </si>
  <si>
    <t>Ausgaben</t>
  </si>
  <si>
    <t>Plan 4</t>
  </si>
  <si>
    <t>Personalausgaben und Aufwandsentschädigungen</t>
  </si>
  <si>
    <t>412.00</t>
  </si>
  <si>
    <t>Aufwandsentschädigungen Studierendenvertretung</t>
  </si>
  <si>
    <t>412.10</t>
  </si>
  <si>
    <t>412.20</t>
  </si>
  <si>
    <t>412.30</t>
  </si>
  <si>
    <t>412.40</t>
  </si>
  <si>
    <t>AStA-Beauftragungen</t>
  </si>
  <si>
    <t>412.50</t>
  </si>
  <si>
    <t>412.40, 412.60, 536.10, 538.10, 550.10, 686.11</t>
  </si>
  <si>
    <t>AStA-Veranstaltungen, Gäste, Sonstige</t>
  </si>
  <si>
    <t>413.00</t>
  </si>
  <si>
    <t>Aufwandsentschädigungen Fachschaften</t>
  </si>
  <si>
    <t>413.10</t>
  </si>
  <si>
    <t>413.20</t>
  </si>
  <si>
    <t>413.21</t>
  </si>
  <si>
    <t>Variable AE FSR WiWi</t>
  </si>
  <si>
    <t>413.22</t>
  </si>
  <si>
    <t>686.41 (x0,13)</t>
  </si>
  <si>
    <t>Variable AE FSR KSW</t>
  </si>
  <si>
    <t>413.23</t>
  </si>
  <si>
    <t>686.51 (x0,2)</t>
  </si>
  <si>
    <t>Variable AE FSR PSY</t>
  </si>
  <si>
    <t>413.24</t>
  </si>
  <si>
    <t>686.61 (x0,67)</t>
  </si>
  <si>
    <t>Variable AE FSR ReWi</t>
  </si>
  <si>
    <t>413.25</t>
  </si>
  <si>
    <t>Variable AE FSR M+I</t>
  </si>
  <si>
    <t>413.30</t>
  </si>
  <si>
    <t>686.21</t>
  </si>
  <si>
    <t>FSRK</t>
  </si>
  <si>
    <t>425.00</t>
  </si>
  <si>
    <t>Beschäftigungen AStA</t>
  </si>
  <si>
    <t>425.10</t>
  </si>
  <si>
    <t>425.11</t>
  </si>
  <si>
    <t>Referate</t>
  </si>
  <si>
    <t>425.20</t>
  </si>
  <si>
    <t>Bundesknappschaft</t>
  </si>
  <si>
    <t>425.30</t>
  </si>
  <si>
    <t>425.12</t>
  </si>
  <si>
    <t>Sachkostenpauschale</t>
  </si>
  <si>
    <t>425.40</t>
  </si>
  <si>
    <t>425.14</t>
  </si>
  <si>
    <t>VBG Unfallversicherung AStA</t>
  </si>
  <si>
    <t>428.00</t>
  </si>
  <si>
    <t>Personalausgaben Angestellte</t>
  </si>
  <si>
    <t>428.10</t>
  </si>
  <si>
    <t>425.21, 427.10</t>
  </si>
  <si>
    <t>428.20</t>
  </si>
  <si>
    <t>425.22</t>
  </si>
  <si>
    <t>428.30</t>
  </si>
  <si>
    <t>425.23, 427.20</t>
  </si>
  <si>
    <t>AG-Anteil Sozialversicherung</t>
  </si>
  <si>
    <t>428.40</t>
  </si>
  <si>
    <t>425.24</t>
  </si>
  <si>
    <t>Betriebsrenten</t>
  </si>
  <si>
    <t>428.50</t>
  </si>
  <si>
    <t>425.26</t>
  </si>
  <si>
    <t>VBG Unfallversicherung Büro</t>
  </si>
  <si>
    <t>430.00</t>
  </si>
  <si>
    <t>Weiterbildung und Sonstige Kosten</t>
  </si>
  <si>
    <t>430.10</t>
  </si>
  <si>
    <t>525.10</t>
  </si>
  <si>
    <t>Angestellte</t>
  </si>
  <si>
    <t>430.20</t>
  </si>
  <si>
    <t>525.30</t>
  </si>
  <si>
    <t>430.30</t>
  </si>
  <si>
    <t>525.20</t>
  </si>
  <si>
    <t>Sonstige Stud.Vertr.</t>
  </si>
  <si>
    <t>430.40</t>
  </si>
  <si>
    <t>Sonstige Kosten Personal</t>
  </si>
  <si>
    <t>Plan 5</t>
  </si>
  <si>
    <t>Sach-, Allgemein- und Veranstaltungsausgaben</t>
  </si>
  <si>
    <t>511.00</t>
  </si>
  <si>
    <t>Geschäftsausgaben</t>
  </si>
  <si>
    <t>511.10</t>
  </si>
  <si>
    <t>511.12, 511.14, 517.21, 517.22</t>
  </si>
  <si>
    <t>Geschäftskosten allgemein, Versicherungen</t>
  </si>
  <si>
    <t>511.20</t>
  </si>
  <si>
    <t>Büromaterial</t>
  </si>
  <si>
    <t>511.30</t>
  </si>
  <si>
    <t>511.17</t>
  </si>
  <si>
    <t>Porto</t>
  </si>
  <si>
    <t>511.40</t>
  </si>
  <si>
    <t>511.11</t>
  </si>
  <si>
    <t>Geldverwaltung und Verwahrgebühren</t>
  </si>
  <si>
    <t>511.60</t>
  </si>
  <si>
    <t>511.41, 511.42</t>
  </si>
  <si>
    <t>Telekommunikation</t>
  </si>
  <si>
    <t>511.70</t>
  </si>
  <si>
    <t>511.44</t>
  </si>
  <si>
    <t>Lizenzen_Ges.</t>
  </si>
  <si>
    <t>511.80</t>
  </si>
  <si>
    <t>511.13, 511.16</t>
  </si>
  <si>
    <t>Publikationen, Bücher, Zeitschriften</t>
  </si>
  <si>
    <t>511.90</t>
  </si>
  <si>
    <t>511.61 (x0,4), 511.43</t>
  </si>
  <si>
    <t>IT-Mieten</t>
  </si>
  <si>
    <t>512.00</t>
  </si>
  <si>
    <t>Anschaffungen, Reparaturen, Renovierungen</t>
  </si>
  <si>
    <t>512.10</t>
  </si>
  <si>
    <t>511.52, 511.53</t>
  </si>
  <si>
    <t>Neuanschaffungen allgemein</t>
  </si>
  <si>
    <t>512.20</t>
  </si>
  <si>
    <t>511.51</t>
  </si>
  <si>
    <t>Neuanschaffungen EDV und Telekommunikation</t>
  </si>
  <si>
    <t>512.40</t>
  </si>
  <si>
    <t>511.62</t>
  </si>
  <si>
    <t>Renovierungen und Instandhaltung</t>
  </si>
  <si>
    <t>527.00</t>
  </si>
  <si>
    <t>Reisekosten intern</t>
  </si>
  <si>
    <t>527.10</t>
  </si>
  <si>
    <t>527.61, 527.62</t>
  </si>
  <si>
    <t>Funktion Unigremien</t>
  </si>
  <si>
    <t>527.20</t>
  </si>
  <si>
    <t>527.21, 527.24, 527.27</t>
  </si>
  <si>
    <t>527.30</t>
  </si>
  <si>
    <t>527.31, 527.51, 527.54, 533.20, 536.11, 538.11, 550.11, 686.12</t>
  </si>
  <si>
    <t>FK und VP AStA-Referate und Gäste</t>
  </si>
  <si>
    <t>527.40</t>
  </si>
  <si>
    <t>Fahrtkosten u. Verpflegungspausch. Fachschaften</t>
  </si>
  <si>
    <t>527.41</t>
  </si>
  <si>
    <t>686.32</t>
  </si>
  <si>
    <t>527.42</t>
  </si>
  <si>
    <t>686.42</t>
  </si>
  <si>
    <t>527.43</t>
  </si>
  <si>
    <t>686.52</t>
  </si>
  <si>
    <t>527.44</t>
  </si>
  <si>
    <t>686.62</t>
  </si>
  <si>
    <t>527.45</t>
  </si>
  <si>
    <t>686.72</t>
  </si>
  <si>
    <t>527.50</t>
  </si>
  <si>
    <t>686.22</t>
  </si>
  <si>
    <t>Fachschaftsrätekonferenz</t>
  </si>
  <si>
    <t>529.00</t>
  </si>
  <si>
    <t>Raum- und Unterkunftskosten intern</t>
  </si>
  <si>
    <t>529.10</t>
  </si>
  <si>
    <t>529.20</t>
  </si>
  <si>
    <t>527.22, 527.23, 527.25, 527.26,527.28, 527.29</t>
  </si>
  <si>
    <t>Studierendenparlament und Ausschüsse</t>
  </si>
  <si>
    <t>529.30</t>
  </si>
  <si>
    <t>527.32, 527.33, 527.52, 527.53, 527.55, 527.56, 550.13, 686.14</t>
  </si>
  <si>
    <t>AStA-Referate und Gäste</t>
  </si>
  <si>
    <t>529.40</t>
  </si>
  <si>
    <t>Raum- und Unterkunftskosten Fachschaften</t>
  </si>
  <si>
    <t>529.41</t>
  </si>
  <si>
    <t>686.34</t>
  </si>
  <si>
    <t>WiWi</t>
  </si>
  <si>
    <t>529.42</t>
  </si>
  <si>
    <t>686.44</t>
  </si>
  <si>
    <t>KSW</t>
  </si>
  <si>
    <t>529.43</t>
  </si>
  <si>
    <t>686.54</t>
  </si>
  <si>
    <t>PSY</t>
  </si>
  <si>
    <t>529.44</t>
  </si>
  <si>
    <t>686.64</t>
  </si>
  <si>
    <t>ReWi</t>
  </si>
  <si>
    <t>529.45</t>
  </si>
  <si>
    <t>686.74</t>
  </si>
  <si>
    <t>M+I</t>
  </si>
  <si>
    <t>529.50</t>
  </si>
  <si>
    <t>686.24</t>
  </si>
  <si>
    <t>531.00</t>
  </si>
  <si>
    <t>Bewirtungs- und Repräsentationskosten Intern</t>
  </si>
  <si>
    <t>531.10</t>
  </si>
  <si>
    <t>531.20</t>
  </si>
  <si>
    <t>AStA-Referate + Gäste</t>
  </si>
  <si>
    <t>531.30</t>
  </si>
  <si>
    <t>Sonstige (Kleinigkeiten in der AStA-Küche, Getränke)</t>
  </si>
  <si>
    <t>531.40</t>
  </si>
  <si>
    <t>Bewirtung und Repräsentation Fachschaften</t>
  </si>
  <si>
    <t>531.41</t>
  </si>
  <si>
    <t>686.35</t>
  </si>
  <si>
    <t>531.42</t>
  </si>
  <si>
    <t>686.45</t>
  </si>
  <si>
    <t>531.43</t>
  </si>
  <si>
    <t>686.55</t>
  </si>
  <si>
    <t>531.44</t>
  </si>
  <si>
    <t>686.65</t>
  </si>
  <si>
    <t>531.45</t>
  </si>
  <si>
    <t>686.75</t>
  </si>
  <si>
    <t>531.50</t>
  </si>
  <si>
    <t>686.25</t>
  </si>
  <si>
    <t>540.00</t>
  </si>
  <si>
    <t>540.10</t>
  </si>
  <si>
    <t>540.20</t>
  </si>
  <si>
    <t>540.30</t>
  </si>
  <si>
    <t>Satz und Lektorat</t>
  </si>
  <si>
    <t>540.60</t>
  </si>
  <si>
    <t>Sonstige Kosten</t>
  </si>
  <si>
    <t>550.00</t>
  </si>
  <si>
    <t>Veranstaltungen, Maßnahmen und Seminare AStA-Referate</t>
  </si>
  <si>
    <t>550.10</t>
  </si>
  <si>
    <t>536.12, 538.12, 550.12 (je x0,1)</t>
  </si>
  <si>
    <t>Honorare Dozierende Fachseminare</t>
  </si>
  <si>
    <t>550.20</t>
  </si>
  <si>
    <t>536.12, 538.12, 550.12 (je x0,7)</t>
  </si>
  <si>
    <t>Andere Honorare</t>
  </si>
  <si>
    <t>550.30</t>
  </si>
  <si>
    <t>536.12, 538.12, 550.12 (je x0,2)</t>
  </si>
  <si>
    <t>Externe Reisekosten</t>
  </si>
  <si>
    <t>550.40</t>
  </si>
  <si>
    <t>532.10, 532.20, 532.30, 533.30, 536.15, 538.15, 550.14, 539.00</t>
  </si>
  <si>
    <t>Bewirtung und Repräsentation</t>
  </si>
  <si>
    <t>550.50</t>
  </si>
  <si>
    <t>533.10, 536.13, 536.14, 538.13, 538.14, 550.15</t>
  </si>
  <si>
    <t>Raum und Unterkunftskosten</t>
  </si>
  <si>
    <t>550.60</t>
  </si>
  <si>
    <t>Druckkosten</t>
  </si>
  <si>
    <t>550.70</t>
  </si>
  <si>
    <t>533.40, 550.16, 546.00</t>
  </si>
  <si>
    <t>551.00</t>
  </si>
  <si>
    <t>Veranstaltungen, Maßnahmen und Seminare Fachschaften</t>
  </si>
  <si>
    <t>551.10</t>
  </si>
  <si>
    <t>551.11</t>
  </si>
  <si>
    <t>686.33 (x0,7)</t>
  </si>
  <si>
    <t>551.12</t>
  </si>
  <si>
    <t>686.43 (x0,7)</t>
  </si>
  <si>
    <t>551.13</t>
  </si>
  <si>
    <t>686.53 (x0,7)</t>
  </si>
  <si>
    <t>551.14</t>
  </si>
  <si>
    <t>686.63 (x0,7)</t>
  </si>
  <si>
    <t>551.15</t>
  </si>
  <si>
    <t>686.73 (x0,7)</t>
  </si>
  <si>
    <t>551.20</t>
  </si>
  <si>
    <t>551.21</t>
  </si>
  <si>
    <t>686.33 (x0,15)</t>
  </si>
  <si>
    <t>551.22</t>
  </si>
  <si>
    <t>686.43 (x0,15)</t>
  </si>
  <si>
    <t>551.23</t>
  </si>
  <si>
    <t>686.53 (x0,15)</t>
  </si>
  <si>
    <t>551.24</t>
  </si>
  <si>
    <t>686.63 (x0,15)</t>
  </si>
  <si>
    <t>551.25</t>
  </si>
  <si>
    <t>686.73 (x0,15)</t>
  </si>
  <si>
    <t>551.30</t>
  </si>
  <si>
    <t>551.31</t>
  </si>
  <si>
    <t>551.32</t>
  </si>
  <si>
    <t>551.33</t>
  </si>
  <si>
    <t>551.34</t>
  </si>
  <si>
    <t>551.35</t>
  </si>
  <si>
    <t>551.40</t>
  </si>
  <si>
    <t>Bewirtung und Repräsentation extern</t>
  </si>
  <si>
    <t>551.41</t>
  </si>
  <si>
    <t>686.37</t>
  </si>
  <si>
    <t>551.42</t>
  </si>
  <si>
    <t>686.47</t>
  </si>
  <si>
    <t>551.43</t>
  </si>
  <si>
    <t>686.57</t>
  </si>
  <si>
    <t>551.44</t>
  </si>
  <si>
    <t>686.67</t>
  </si>
  <si>
    <t>551.55</t>
  </si>
  <si>
    <t>686.77</t>
  </si>
  <si>
    <t>551.50</t>
  </si>
  <si>
    <t>Raum- und Unterkunftskosten extern</t>
  </si>
  <si>
    <t>551.51</t>
  </si>
  <si>
    <t>686.36</t>
  </si>
  <si>
    <t>551.52</t>
  </si>
  <si>
    <t>686.46</t>
  </si>
  <si>
    <t>551.53</t>
  </si>
  <si>
    <t>686.56</t>
  </si>
  <si>
    <t>551.54</t>
  </si>
  <si>
    <t>686.66</t>
  </si>
  <si>
    <t>686.76</t>
  </si>
  <si>
    <t>551.60</t>
  </si>
  <si>
    <t>551.61</t>
  </si>
  <si>
    <t>686.38 (x0,1)</t>
  </si>
  <si>
    <t>551.62</t>
  </si>
  <si>
    <t>686.48 (x0,1)</t>
  </si>
  <si>
    <t>551.63</t>
  </si>
  <si>
    <t>686.58 (x0,1)</t>
  </si>
  <si>
    <t>551.64</t>
  </si>
  <si>
    <t>686.68 (x0,1)</t>
  </si>
  <si>
    <t>551.65</t>
  </si>
  <si>
    <t>686.78 (x0,1)</t>
  </si>
  <si>
    <t>551.70</t>
  </si>
  <si>
    <t>Sonstige Kosten (Lizenzen, Allg. Geschäftsbetrieb)</t>
  </si>
  <si>
    <t>551.71</t>
  </si>
  <si>
    <t>686.38 (x0,9)</t>
  </si>
  <si>
    <t>551.72</t>
  </si>
  <si>
    <t>686.48 (x0,9)</t>
  </si>
  <si>
    <t>551.73</t>
  </si>
  <si>
    <t>686.58 (x0,9)</t>
  </si>
  <si>
    <t>551.74</t>
  </si>
  <si>
    <t>686.68 (x0,9)</t>
  </si>
  <si>
    <t>551.75</t>
  </si>
  <si>
    <t>686.78 (x0,9)</t>
  </si>
  <si>
    <t>560.00</t>
  </si>
  <si>
    <t>Leistungen durch Dritte und Kooperationen</t>
  </si>
  <si>
    <t>560.10</t>
  </si>
  <si>
    <t>526.20</t>
  </si>
  <si>
    <t>Lohnbuchführung</t>
  </si>
  <si>
    <t>560.20</t>
  </si>
  <si>
    <t>526.30</t>
  </si>
  <si>
    <t>Beratungen (Supervision Büro z.B.)</t>
  </si>
  <si>
    <t>560.30</t>
  </si>
  <si>
    <t>511.61 (x0,6), 511.63</t>
  </si>
  <si>
    <t>IT-Dienstleistungen</t>
  </si>
  <si>
    <t>560.40</t>
  </si>
  <si>
    <t>Sonstige Leistungen durch Dritte</t>
  </si>
  <si>
    <t>560.50</t>
  </si>
  <si>
    <t>526.10, 550.17</t>
  </si>
  <si>
    <t>560.60</t>
  </si>
  <si>
    <t>560.70</t>
  </si>
  <si>
    <t>686.39, 686.49, 686.59, 686.69, 686.79</t>
  </si>
  <si>
    <t>Rechtskosten Fachschaften</t>
  </si>
  <si>
    <t>560.80</t>
  </si>
  <si>
    <t>Rechtsberatung Studierende</t>
  </si>
  <si>
    <t>580.00</t>
  </si>
  <si>
    <t>Wahlen und Studierendenbefragungen</t>
  </si>
  <si>
    <t>580.10</t>
  </si>
  <si>
    <t>535.11</t>
  </si>
  <si>
    <t>AE fest Wahlen</t>
  </si>
  <si>
    <t>580.20</t>
  </si>
  <si>
    <t>535.12</t>
  </si>
  <si>
    <t>AE variabel Wahlen</t>
  </si>
  <si>
    <t>580.30</t>
  </si>
  <si>
    <t>535.21</t>
  </si>
  <si>
    <t>Fahrtkosten und Verpflegungspauschale Wahlen</t>
  </si>
  <si>
    <t>580.40</t>
  </si>
  <si>
    <t>535.22</t>
  </si>
  <si>
    <t>Raum- und Unterkunftskosten Wahlen</t>
  </si>
  <si>
    <t>580.50</t>
  </si>
  <si>
    <t>535.53 (x0,995)</t>
  </si>
  <si>
    <t>Wahltools und Sonstige Kosten</t>
  </si>
  <si>
    <t>580.60</t>
  </si>
  <si>
    <t>535.52</t>
  </si>
  <si>
    <t>Wahlrohr Druck</t>
  </si>
  <si>
    <t>580.70</t>
  </si>
  <si>
    <t>535.51</t>
  </si>
  <si>
    <t>Wahlrohr Versand</t>
  </si>
  <si>
    <t>580.80</t>
  </si>
  <si>
    <t>535.54</t>
  </si>
  <si>
    <t>Wahlunterlagen Druck</t>
  </si>
  <si>
    <t>580.90</t>
  </si>
  <si>
    <t>535.53 (x0,005)</t>
  </si>
  <si>
    <t>Wahlunterlagen Versand</t>
  </si>
  <si>
    <t>Plan 6</t>
  </si>
  <si>
    <t>Zuschüsse, Mitgliedschaften, BHS</t>
  </si>
  <si>
    <t>681.00</t>
  </si>
  <si>
    <t>Zuschüsse</t>
  </si>
  <si>
    <t>681.10</t>
  </si>
  <si>
    <t>Zuschüsse für studentische Aktivitäten (neu!)</t>
  </si>
  <si>
    <t>681.20</t>
  </si>
  <si>
    <t>Besondere Fachschaftsaktivitäten (neu!)</t>
  </si>
  <si>
    <t>681.30</t>
  </si>
  <si>
    <t>686.81</t>
  </si>
  <si>
    <t>Honorare Lerngruppen</t>
  </si>
  <si>
    <t>681.40</t>
  </si>
  <si>
    <t>686.82</t>
  </si>
  <si>
    <t>Honorare Veranstaltungen Campus</t>
  </si>
  <si>
    <t>681.50</t>
  </si>
  <si>
    <t>686.83</t>
  </si>
  <si>
    <t>Bewirtung und Repräsentation Campus</t>
  </si>
  <si>
    <t>681.60</t>
  </si>
  <si>
    <t>686.13</t>
  </si>
  <si>
    <t>Allg. Betrieb Interessengruppen</t>
  </si>
  <si>
    <t>681.70</t>
  </si>
  <si>
    <t>686.16</t>
  </si>
  <si>
    <t>Rechtsangelegenheiten Interessengruppen</t>
  </si>
  <si>
    <t>681.80</t>
  </si>
  <si>
    <t>686.84</t>
  </si>
  <si>
    <t>685 00</t>
  </si>
  <si>
    <t>Vereins- und Verbandsmitgliedschaften</t>
  </si>
  <si>
    <t>685.10</t>
  </si>
  <si>
    <t>686.17</t>
  </si>
  <si>
    <t>685.20</t>
  </si>
  <si>
    <t>686.18</t>
  </si>
  <si>
    <t>DJH, DAAD</t>
  </si>
  <si>
    <t>690.00</t>
  </si>
  <si>
    <t>BHS-GmbH</t>
  </si>
  <si>
    <t>Ausgleich negativer Cashflow</t>
  </si>
  <si>
    <t>Maßnahmen BHS</t>
  </si>
  <si>
    <t>Plan 8</t>
  </si>
  <si>
    <t>Darlehen</t>
  </si>
  <si>
    <t>860.00</t>
  </si>
  <si>
    <t>Studierende</t>
  </si>
  <si>
    <t>860.10</t>
  </si>
  <si>
    <t>Allgemeine Darlehen</t>
  </si>
  <si>
    <t>860.20</t>
  </si>
  <si>
    <t>861.00</t>
  </si>
  <si>
    <t>Internationalisierungsdarlehen</t>
  </si>
  <si>
    <t>Plan 9</t>
  </si>
  <si>
    <t>Rücklagen</t>
  </si>
  <si>
    <t>919 00</t>
  </si>
  <si>
    <t>Zuführung zu Rücklagen</t>
  </si>
  <si>
    <t>919.10</t>
  </si>
  <si>
    <t>910.00</t>
  </si>
  <si>
    <t>919.20</t>
  </si>
  <si>
    <t>920.00</t>
  </si>
  <si>
    <t>919.30</t>
  </si>
  <si>
    <t>930.00</t>
  </si>
  <si>
    <t>Ausgaben Gesamt</t>
  </si>
  <si>
    <t>Geldvermögen</t>
  </si>
  <si>
    <t>SOLL 30. Sept. 2022</t>
  </si>
  <si>
    <t>Giroguthaben Commerzbank</t>
  </si>
  <si>
    <t>Barkasse</t>
  </si>
  <si>
    <t>Noch nicht abgerechnete Vorschüsse</t>
  </si>
  <si>
    <t>SUMME Geldvermögen</t>
  </si>
  <si>
    <t>Aufteilung Geldvermögen</t>
  </si>
  <si>
    <t>Kassenbestand (Einnahmen - Ausgaben)</t>
  </si>
  <si>
    <t>Rücklage AStA Innovative Projekte</t>
  </si>
  <si>
    <t>Sonderrücklagen</t>
  </si>
  <si>
    <t>SUMME Aufteilung Geldvermögen</t>
  </si>
  <si>
    <t>Verfügbare Mittel</t>
  </si>
  <si>
    <t>./. Betriebsmittelrücklage (§ 12 Abs. 2 HWVO)
 -  5 % Studierendenschaftsbeiträge</t>
  </si>
  <si>
    <t>= freie Mittel</t>
  </si>
  <si>
    <t>./. Rücklage für Wahlen
(Ansatz: 18 % Studierendenschaftsbeiträge)
abzgl. Rücklage Wahlen</t>
  </si>
  <si>
    <t>= ungebundene Mittel</t>
  </si>
  <si>
    <t>HHJ 21-22</t>
  </si>
  <si>
    <t>HHJ 22-23</t>
  </si>
  <si>
    <t>Empfänger</t>
  </si>
  <si>
    <t>Art</t>
  </si>
  <si>
    <t>Höhe p.A.</t>
  </si>
  <si>
    <t>Stupa-Vorsitz</t>
  </si>
  <si>
    <t>fest</t>
  </si>
  <si>
    <t>HHA-Vorsitz</t>
  </si>
  <si>
    <t>AG-Sprecher</t>
  </si>
  <si>
    <t>Gesamt fest</t>
  </si>
  <si>
    <t>Fachschaftsräte</t>
  </si>
  <si>
    <t>pro Fachschaft</t>
  </si>
  <si>
    <t>Vorsitz Stupa</t>
  </si>
  <si>
    <t>variabel</t>
  </si>
  <si>
    <t>Mitglieder Stupa</t>
  </si>
  <si>
    <t>Vorsitz Ausschüsse</t>
  </si>
  <si>
    <t>Mitglieder Ausschüsse</t>
  </si>
  <si>
    <t>Vorsitz Agen</t>
  </si>
  <si>
    <t>Mitglieder Agen</t>
  </si>
  <si>
    <t>Gesamt variabel</t>
  </si>
  <si>
    <t>Ergebnis</t>
  </si>
  <si>
    <t>Datengrundlage:</t>
  </si>
  <si>
    <t>FS var</t>
  </si>
  <si>
    <t>Muster</t>
  </si>
  <si>
    <t>AE</t>
  </si>
  <si>
    <t>Anzahl</t>
  </si>
  <si>
    <t>Gesamt:</t>
  </si>
  <si>
    <t>SP-Sitzung Präsenz (22.08.2020)</t>
  </si>
  <si>
    <t>Online:</t>
  </si>
  <si>
    <t>Freie Mittel (bspw. Sondersitzungen, mehr Präsenz)</t>
  </si>
  <si>
    <t>HHA Präsenz:</t>
  </si>
  <si>
    <t>Kassenprüfung:</t>
  </si>
  <si>
    <t>Freie Mittel:</t>
  </si>
  <si>
    <t>FSR-Sitzung Präsenz</t>
  </si>
  <si>
    <t>Stellenplan</t>
  </si>
  <si>
    <t>AStA-Referate HHJ 21-22</t>
  </si>
  <si>
    <t>Vergütung</t>
  </si>
  <si>
    <t>Knappschaft</t>
  </si>
  <si>
    <t>VBG</t>
  </si>
  <si>
    <t>AStA-Referate HHJ 22-23</t>
  </si>
  <si>
    <t>Rechn. Jahreswert</t>
  </si>
  <si>
    <t>Budget angepasst</t>
  </si>
  <si>
    <t>Stellenplan Personal 01.01.2021 bis 31.12.2021</t>
  </si>
  <si>
    <t>Tarifgruppe</t>
  </si>
  <si>
    <t>Stellenbeschreibung</t>
  </si>
  <si>
    <t>Stellenvolumen</t>
  </si>
  <si>
    <t>Wochenarbeitszeit in
Stunden</t>
  </si>
  <si>
    <t>E 9a</t>
  </si>
  <si>
    <t>Verwaltungsangestellte/r</t>
  </si>
  <si>
    <t>Vollzeitstelle, 39 h 50 min</t>
  </si>
  <si>
    <t>E 9b</t>
  </si>
  <si>
    <t>24 Wochenstunden</t>
  </si>
  <si>
    <t>E 10</t>
  </si>
  <si>
    <t>30 Wochenstunden</t>
  </si>
  <si>
    <t>Summe:</t>
  </si>
  <si>
    <t>Stellenplan Personal ab 01.01.2022</t>
  </si>
  <si>
    <t xml:space="preserve">428.10 </t>
  </si>
  <si>
    <t>Gehälter Büro netto</t>
  </si>
  <si>
    <t>Lohnsteuer/Steuerabzug Personal</t>
  </si>
  <si>
    <t xml:space="preserve">428.30 </t>
  </si>
  <si>
    <t>Sozialversicherung</t>
  </si>
  <si>
    <t>VBL Zusatzversorgung</t>
  </si>
  <si>
    <t>Summe</t>
  </si>
  <si>
    <t>Mieten, Wartung und Lizenzen</t>
  </si>
  <si>
    <t>Mieten HHJ 22-23</t>
  </si>
  <si>
    <t>Vertrag Nr.</t>
  </si>
  <si>
    <t>Vertragsinhalt</t>
  </si>
  <si>
    <t>Vertragspartner</t>
  </si>
  <si>
    <t>Beträge/Budget</t>
  </si>
  <si>
    <t>Laufzeit</t>
  </si>
  <si>
    <t>Webspace mit Domains</t>
  </si>
  <si>
    <t>Neue Medien Münnich</t>
  </si>
  <si>
    <t>Mail Business</t>
  </si>
  <si>
    <t>1&amp;1 IONOS</t>
  </si>
  <si>
    <t>Hardwaremieten</t>
  </si>
  <si>
    <t>edvXpert</t>
  </si>
  <si>
    <t>Frei</t>
  </si>
  <si>
    <t>Gesamt</t>
  </si>
  <si>
    <t>Lizenzen HHJ 22-23</t>
  </si>
  <si>
    <t>Lizenz-Nr.</t>
  </si>
  <si>
    <t>Lizenzinhalt</t>
  </si>
  <si>
    <t>Lizenzgeber</t>
  </si>
  <si>
    <t>Microsoft 365</t>
  </si>
  <si>
    <t>Virenschutz</t>
  </si>
  <si>
    <t>Adobe Creative Cloud 2x &amp; InDesign 1x</t>
  </si>
  <si>
    <t>CCP Software</t>
  </si>
  <si>
    <t>Zoom Meetings Pro 3x</t>
  </si>
  <si>
    <t>Zoom Communications</t>
  </si>
  <si>
    <t>Adobe Connect 1x</t>
  </si>
  <si>
    <t>Reflact AG</t>
  </si>
  <si>
    <t>Freies Budget</t>
  </si>
  <si>
    <t>Anschaffungsplan HHJ 22-23</t>
  </si>
  <si>
    <t>Anschaffungsplan HHJ 21-22</t>
  </si>
  <si>
    <t>Neuanschaffungen Allgemein</t>
  </si>
  <si>
    <t>Betrag</t>
  </si>
  <si>
    <t>Was?</t>
  </si>
  <si>
    <t>Begründung</t>
  </si>
  <si>
    <t>Büromöbel</t>
  </si>
  <si>
    <t>Austausch von Stühlen notwendig</t>
  </si>
  <si>
    <t>Kamera-Lesesystem</t>
  </si>
  <si>
    <t>Inklusion</t>
  </si>
  <si>
    <t>Freie Mittel</t>
  </si>
  <si>
    <t>Neuanschaffungen EDV</t>
  </si>
  <si>
    <t>Gesicherte Dienstlaptops</t>
  </si>
  <si>
    <t xml:space="preserve">ggf. aufgrund von Datenschutzanforderungen </t>
  </si>
  <si>
    <t>Gesicherte Diensthandys</t>
  </si>
  <si>
    <t>Kleinmaßnahmen</t>
  </si>
  <si>
    <t>Anschaffungen und Maßnahmen BHS</t>
  </si>
  <si>
    <t>Rücklagenbildung BHS</t>
  </si>
  <si>
    <t>Verschönerungs- und bauliche Kleinmaßnahmen</t>
  </si>
  <si>
    <t>Wünschenswert</t>
  </si>
  <si>
    <t>Reparatur Aufzug</t>
  </si>
  <si>
    <t>Referatspläne Gesamt</t>
  </si>
  <si>
    <t>Honorare Dozierende</t>
  </si>
  <si>
    <t>Interne Reisekosten</t>
  </si>
  <si>
    <t>Bewirtung/Repräsentation int.</t>
  </si>
  <si>
    <t>Bewirtung/Repräsentation ext.</t>
  </si>
  <si>
    <t>Raum- und Unterkunftskosten int.</t>
  </si>
  <si>
    <t>Raum- und Unterkunftskosten ext.</t>
  </si>
  <si>
    <t>Sonstige Ausgaben</t>
  </si>
  <si>
    <t>Teilnahmebeiträge Seminare</t>
  </si>
  <si>
    <t>Teilnahmebeiträge Veranstaltungen</t>
  </si>
  <si>
    <t>Bewirtung Veranst.</t>
  </si>
  <si>
    <t>Förderungen</t>
  </si>
  <si>
    <t>Kalkulation</t>
  </si>
  <si>
    <t>Referatspläne Im Einzelnen</t>
  </si>
  <si>
    <t xml:space="preserve">Titel:  </t>
  </si>
  <si>
    <t>Referat</t>
  </si>
  <si>
    <t>Vorstand und Digitalisierung</t>
  </si>
  <si>
    <t>Frei:</t>
  </si>
  <si>
    <t>Teilsumme:</t>
  </si>
  <si>
    <t>Büro und Internationales</t>
  </si>
  <si>
    <t>Maßnahme 1: Teilnahme EADTU in irgendwo, 2 Personen, TN-Beitrag 400 €</t>
  </si>
  <si>
    <t>Maßnahme 2: Umsetzung von Vorschlägen aus Datenschutzaudit</t>
  </si>
  <si>
    <t>Inklusion, Gleichstellung und Hochschulsport</t>
  </si>
  <si>
    <t>Maßnahme 1: Jahrestagung Inklusion</t>
  </si>
  <si>
    <t>Einsatz Gebärdendolmetschung/Schriftdolmetschung</t>
  </si>
  <si>
    <t>barrierefreies SprachRohr</t>
  </si>
  <si>
    <t>Kinderbetreuung</t>
  </si>
  <si>
    <t>Seminarreihe Wiss. Arbeiten m. WORD für Frauen</t>
  </si>
  <si>
    <t>Hochschulsport</t>
  </si>
  <si>
    <t>Tagung Informationsstelle Studium und Behinderung (Deutsches Studentenwerk)</t>
  </si>
  <si>
    <t>Tagung Fortbildung (Inklusion)</t>
  </si>
  <si>
    <t>Tagung und Fortbildung Gleichstellung</t>
  </si>
  <si>
    <t>Finanzen</t>
  </si>
  <si>
    <t>Rechtsangelegenheiten</t>
  </si>
  <si>
    <t>Hochschulpolitik</t>
  </si>
  <si>
    <t>Betreuung JVA und ÖA Print (Sprachrohr)</t>
  </si>
  <si>
    <t>Referat ÖA Homepage</t>
  </si>
  <si>
    <t>Referat für Lerngruppenförderung</t>
  </si>
  <si>
    <t>Referat für ÖA Social Media</t>
  </si>
  <si>
    <t>Materialien Öffentlichkeitsarbeit</t>
  </si>
  <si>
    <t>Referat für Lebenslanges Lernen</t>
  </si>
  <si>
    <t>Referat für Studium und Betreuung</t>
  </si>
  <si>
    <t>Freie Mittel allgemein, u.a. Anreisen zu Bürotätigkeit und Sitzungen:</t>
  </si>
  <si>
    <t>Honorare Doz. Lerngruppen</t>
  </si>
  <si>
    <t>Honorare Seminare Campus</t>
  </si>
  <si>
    <t>(Titel 681.30)</t>
  </si>
  <si>
    <t>(Titel 681.40)</t>
  </si>
  <si>
    <t>(Titel 681.50)</t>
  </si>
  <si>
    <t>Budget Lerngruppen WiSe gem. Anlage</t>
  </si>
  <si>
    <t>Budget Lerngruppen SoSe gem. Anlage</t>
  </si>
  <si>
    <t>Teilergebnis:</t>
  </si>
  <si>
    <t>Budget Seminare WiSe gem. Anlage</t>
  </si>
  <si>
    <t>Budget Start-It-Ups WiSe</t>
  </si>
  <si>
    <t>Budget Seminare SoSe gem. Anlage</t>
  </si>
  <si>
    <t>Budget Start-it-Ups SoSe</t>
  </si>
  <si>
    <t xml:space="preserve">Gesamt:  </t>
  </si>
  <si>
    <t>Leistungen Dritter</t>
  </si>
  <si>
    <t>Vertragsinhalt*</t>
  </si>
  <si>
    <t>WETAX</t>
  </si>
  <si>
    <t>IT-Wartungspakete</t>
  </si>
  <si>
    <t>IT-Wartung Personalkosten</t>
  </si>
  <si>
    <t>Drucker Vollservice</t>
  </si>
  <si>
    <t>Kesper</t>
  </si>
  <si>
    <t>Seminarverwaltung</t>
  </si>
  <si>
    <t>Wundercoach</t>
  </si>
  <si>
    <t>HHJ 22-23 - Leistungen Dritter</t>
  </si>
  <si>
    <t>Allgemeine Rechtsberatung Studierende</t>
  </si>
  <si>
    <t>n.N</t>
  </si>
  <si>
    <t>1 Jahr</t>
  </si>
  <si>
    <t>Beratungen zum Haushalt</t>
  </si>
  <si>
    <t>n.N.</t>
  </si>
  <si>
    <t>HHJ 22-23 - IT-Dienstleistungen</t>
  </si>
  <si>
    <t>zzgl. AStA-Referate</t>
  </si>
  <si>
    <t>Diverse</t>
  </si>
  <si>
    <t>Haushaltplan der Fachschaft WiWi</t>
  </si>
  <si>
    <t>-</t>
  </si>
  <si>
    <t>Erläuterung</t>
  </si>
  <si>
    <t>Freie Eingabe Plan HHJ 22-23</t>
  </si>
  <si>
    <t>Rechnung HHJ 22-23</t>
  </si>
  <si>
    <t>Freie Eingabe Plan HHJ 21-22</t>
  </si>
  <si>
    <t>Abschluss 20-21</t>
  </si>
  <si>
    <t>Plan HHJ 20-21</t>
  </si>
  <si>
    <t>Einnahmen</t>
  </si>
  <si>
    <t>Sonstige Einnahmen (Vorauszahlungen Bewirtung, Werbung, …)</t>
  </si>
  <si>
    <t>AE fest (800 € monatlich)</t>
  </si>
  <si>
    <t>AE variabel</t>
  </si>
  <si>
    <t>527 41</t>
  </si>
  <si>
    <t>Fahrtkosten und Verpflegungspauschalen</t>
  </si>
  <si>
    <t>Raum- und Unterkunftskosten</t>
  </si>
  <si>
    <t>Bewirtung und Repräsentation intern</t>
  </si>
  <si>
    <t>Honorare Fachseminare</t>
  </si>
  <si>
    <t>Ext. Reisekosten</t>
  </si>
  <si>
    <t>Raum- und Unterkunftskosten Seminare und Veranst.</t>
  </si>
  <si>
    <t>Bilanz:</t>
  </si>
  <si>
    <t>Deckungsfähigkeiten: Die Ausgaben der Fachschaft sind untereineinander teilweise deckungsfähig.</t>
  </si>
  <si>
    <t xml:space="preserve">Einnahmen über Plan verstärken Gegentitel. Mittel aus den Konten 551.11 bis 551.51 dürfen nicht  zur </t>
  </si>
  <si>
    <t>Deckung von anderen Konten verwendet werden: Keine Verschiebung vom Seminarbetrieb zum Verwaltungsbetrieb.</t>
  </si>
  <si>
    <t>Kommentar beachten!</t>
  </si>
  <si>
    <t>Lfd. Nr.</t>
  </si>
  <si>
    <t>Beschreibung/ Kurzbezeichnung</t>
  </si>
  <si>
    <t>Teilnahmebeiträge Fachseminare</t>
  </si>
  <si>
    <t>Sonstige Einnahmen</t>
  </si>
  <si>
    <t>Repräsentation/Bewirtung extern</t>
  </si>
  <si>
    <t>Raum + Unterkunft extern</t>
  </si>
  <si>
    <t>Maßnahmenplan (vorwiegend intern)</t>
  </si>
  <si>
    <t>Beschreibung</t>
  </si>
  <si>
    <t>Aufwandsentschädigungen</t>
  </si>
  <si>
    <t>Raum + Unterkunft intern</t>
  </si>
  <si>
    <t>Repräsentation/Bewirtung intern</t>
  </si>
  <si>
    <t>Zoom-Lizenz</t>
  </si>
  <si>
    <t>WiWi-Eulen-Verleihung</t>
  </si>
  <si>
    <t>WiWi-Broschüre Nachbearbeitung</t>
  </si>
  <si>
    <t>Bufak (3 Mitglieder, 2x im HHJ)</t>
  </si>
  <si>
    <t>AE-Plan, Reisekosten (Intern)</t>
  </si>
  <si>
    <t xml:space="preserve">Lfd. Nr. </t>
  </si>
  <si>
    <t>Sitzung/Tätigkeit</t>
  </si>
  <si>
    <t>Ort oder Datum (falls bekannt)</t>
  </si>
  <si>
    <t>Fachschaftsratsitzung</t>
  </si>
  <si>
    <t>Hagen</t>
  </si>
  <si>
    <t>Hybrid</t>
  </si>
  <si>
    <t>Auswärtige Fachschaftsratsitzung</t>
  </si>
  <si>
    <t>Regionalzentrum</t>
  </si>
  <si>
    <t>Präsenz</t>
  </si>
  <si>
    <t>*Gesamt je zzgl. Maßnahmenplan!</t>
  </si>
  <si>
    <t>Allg.</t>
  </si>
  <si>
    <t>Haushaltplan der Fachschaft KSW</t>
  </si>
  <si>
    <t>Freie Eingabe Plan 22-23</t>
  </si>
  <si>
    <t>Fachschaftsrat</t>
  </si>
  <si>
    <t>Online</t>
  </si>
  <si>
    <t>Bundesfachschaftstagung 1</t>
  </si>
  <si>
    <t>Bundesfachschaftstagung 2</t>
  </si>
  <si>
    <t>Haushaltplan der Fachschaft Psychologie</t>
  </si>
  <si>
    <t>Lizenzkosten</t>
  </si>
  <si>
    <t>Arbeitsgruppe Evaluation Lehrpreis, 2 Sitzungen, 5 Teilnehmer*innen intern</t>
  </si>
  <si>
    <t>PsyFaKo mit Vorbereitungstreffen</t>
  </si>
  <si>
    <t>Haushaltplan der Fachschaft Rechtswissenschaft</t>
  </si>
  <si>
    <t>Rechtliche Beratung</t>
  </si>
  <si>
    <t>Bundesfachschaftstagung</t>
  </si>
  <si>
    <t>Haushaltplan der Fachschaft M+I</t>
  </si>
  <si>
    <t>Lizenzen</t>
  </si>
  <si>
    <t>Neue Fachschaftshomepage</t>
  </si>
  <si>
    <t>ggf. rechtliche Beratung</t>
  </si>
  <si>
    <t>BuFaK</t>
  </si>
  <si>
    <t>HHJ</t>
  </si>
  <si>
    <t>Nachtrags-HH</t>
  </si>
  <si>
    <t>2020 / 2021</t>
  </si>
  <si>
    <t>2020/2021</t>
  </si>
  <si>
    <t>2021 / 2022</t>
  </si>
  <si>
    <t>Neu</t>
  </si>
  <si>
    <t>Soll</t>
  </si>
  <si>
    <t>Stand</t>
  </si>
  <si>
    <t>Titelbezeichnung</t>
  </si>
  <si>
    <t>SP-Beschluss 10.10.20</t>
  </si>
  <si>
    <t>SP-Beschluss 26.06.21</t>
  </si>
  <si>
    <t>SP-Beschluss 04.09.21</t>
  </si>
  <si>
    <t>31.09.2022</t>
  </si>
  <si>
    <t>119.2</t>
  </si>
  <si>
    <t>119.21</t>
  </si>
  <si>
    <t>Spende</t>
  </si>
  <si>
    <t>sonst. Einnahmen</t>
  </si>
  <si>
    <t>125.10</t>
  </si>
  <si>
    <t>Einnahmen aus kommerz. Anzeigen</t>
  </si>
  <si>
    <t>125.20</t>
  </si>
  <si>
    <t>Einnahmen aus kommerz.Anz.Web+and.</t>
  </si>
  <si>
    <t>129.0</t>
  </si>
  <si>
    <t xml:space="preserve">Einnahmen aus Veranstaltungen </t>
  </si>
  <si>
    <t>Einnahmen aus Veranst. FSR  WiWi</t>
  </si>
  <si>
    <t>Einnahmen aus Veranst. FSR KSW</t>
  </si>
  <si>
    <t>Einnahmen aus Veranst. FSR M+I</t>
  </si>
  <si>
    <t>Einnahmen aus Veranst.  FSR ReWi</t>
  </si>
  <si>
    <t>129.50</t>
  </si>
  <si>
    <t>Einnahmen aus Veranst.Interessengruppen</t>
  </si>
  <si>
    <t>Einnahmen aus Veranst.  FSR Pych</t>
  </si>
  <si>
    <t>129.70</t>
  </si>
  <si>
    <t>Einnahmen aus sonst.AStA-Veranst.</t>
  </si>
  <si>
    <t>129.80</t>
  </si>
  <si>
    <t>Einnahmen aus Veranst.Inklusion+Gleichst.</t>
  </si>
  <si>
    <t>129.90</t>
  </si>
  <si>
    <t>Einnahmen aus Veranst. Hopo</t>
  </si>
  <si>
    <t>Zinsen privatrechtll.Unternehmen</t>
  </si>
  <si>
    <t>Darlehensrückflüsse Studierende</t>
  </si>
  <si>
    <t>SUMME PLAN 1</t>
  </si>
  <si>
    <t>341.00</t>
  </si>
  <si>
    <t>Entnahme aus der Allg. Rücklage</t>
  </si>
  <si>
    <t>Entnahme aus der Sonderrücklage</t>
  </si>
  <si>
    <t>Überschuss des Vorjahres</t>
  </si>
  <si>
    <t>SUMME PLAN 3</t>
  </si>
  <si>
    <t>SUMME Einnahmen</t>
  </si>
  <si>
    <t xml:space="preserve">Sachkostenpauschale AStA  </t>
  </si>
  <si>
    <t xml:space="preserve">Aufwandsentsch. SP </t>
  </si>
  <si>
    <t>AE Mitglieder FernUni - Gremien</t>
  </si>
  <si>
    <t>Aufwandsentsch. AStA-Gäste</t>
  </si>
  <si>
    <t>Aufwandsentsch. SP - Ausschüsse</t>
  </si>
  <si>
    <t>412.60</t>
  </si>
  <si>
    <t>Aufwandsentsch. AStA-PG</t>
  </si>
  <si>
    <t>425.0</t>
  </si>
  <si>
    <t>Personalkosten + AStA-Referate</t>
  </si>
  <si>
    <t>425.1</t>
  </si>
  <si>
    <t>Bezüge AStA-Referate</t>
  </si>
  <si>
    <t>Vergütung AStA-Referate</t>
  </si>
  <si>
    <t>Beiträge Bundesknappschaft</t>
  </si>
  <si>
    <t>425.13</t>
  </si>
  <si>
    <t>sonst. Erstatt. AStA Referate</t>
  </si>
  <si>
    <t>425.2</t>
  </si>
  <si>
    <t>Personalkosten Büro</t>
  </si>
  <si>
    <t>425.21</t>
  </si>
  <si>
    <t>Lohnsteuer/Steuerabzüge Personal</t>
  </si>
  <si>
    <t>425.23</t>
  </si>
  <si>
    <t>Zusatzversorgung VBL</t>
  </si>
  <si>
    <t>425.25</t>
  </si>
  <si>
    <t>sonst. Erstatt. Personal</t>
  </si>
  <si>
    <t>427.0</t>
  </si>
  <si>
    <t>Geringfügig Beschäftigte</t>
  </si>
  <si>
    <t>427.10</t>
  </si>
  <si>
    <t>Gehalt geringf.Beschäftigte</t>
  </si>
  <si>
    <t>427.20</t>
  </si>
  <si>
    <t>Verfügungsmittel Personalrat</t>
  </si>
  <si>
    <t>SUMME PLAN 4</t>
  </si>
  <si>
    <t>511.0</t>
  </si>
  <si>
    <t>Allgem. Geschäftsbedarf</t>
  </si>
  <si>
    <t>Bürobedarf</t>
  </si>
  <si>
    <t>Kontoführung</t>
  </si>
  <si>
    <t>511.12</t>
  </si>
  <si>
    <t>GEZ</t>
  </si>
  <si>
    <t>511.13</t>
  </si>
  <si>
    <t>Publikationen</t>
  </si>
  <si>
    <t>511.14</t>
  </si>
  <si>
    <t>sonst. Geschäftsbedarf</t>
  </si>
  <si>
    <t>511.15</t>
  </si>
  <si>
    <t>534.00</t>
  </si>
  <si>
    <t>Verbrauchsmat.Kopierer+Drucker</t>
  </si>
  <si>
    <t>511.16</t>
  </si>
  <si>
    <t>Bücher, Zeitschriften</t>
  </si>
  <si>
    <t>Briefporto</t>
  </si>
  <si>
    <t>511.4</t>
  </si>
  <si>
    <t>Geschäftsbedarf IT/Telefon</t>
  </si>
  <si>
    <t>511.41</t>
  </si>
  <si>
    <t>Telefongebühren</t>
  </si>
  <si>
    <t>511.42</t>
  </si>
  <si>
    <t>Internet</t>
  </si>
  <si>
    <t>511.43</t>
  </si>
  <si>
    <t>Hosting</t>
  </si>
  <si>
    <t>Sonstiges</t>
  </si>
  <si>
    <t>511.5</t>
  </si>
  <si>
    <t>Geräte,Ausstattung,Ausrüstung</t>
  </si>
  <si>
    <t>IT</t>
  </si>
  <si>
    <t>511.52</t>
  </si>
  <si>
    <t>Büroausstattung/Büromöbel</t>
  </si>
  <si>
    <t>511.53</t>
  </si>
  <si>
    <t>sonstige Ausstattung</t>
  </si>
  <si>
    <t>511.6</t>
  </si>
  <si>
    <t>EDV-Arbeiten / externe Dienstleist.</t>
  </si>
  <si>
    <t>511.61</t>
  </si>
  <si>
    <r>
      <t xml:space="preserve">IT + </t>
    </r>
    <r>
      <rPr>
        <b/>
        <sz val="11"/>
        <color rgb="FFFF0000"/>
        <rFont val="Calibri"/>
        <family val="2"/>
        <scheme val="minor"/>
      </rPr>
      <t>IT-Miete</t>
    </r>
  </si>
  <si>
    <t>Kleinreparaturen u.Instandhalt.</t>
  </si>
  <si>
    <t>511.63</t>
  </si>
  <si>
    <t>sonst. Dienstleistungen</t>
  </si>
  <si>
    <t>517.2</t>
  </si>
  <si>
    <t>Ausgaben für Versicherung</t>
  </si>
  <si>
    <t>517.21</t>
  </si>
  <si>
    <t>Allianz Vers. Betriebshaftpflicht</t>
  </si>
  <si>
    <t>517.22</t>
  </si>
  <si>
    <t>sonst. Versicherungen</t>
  </si>
  <si>
    <t>525.0</t>
  </si>
  <si>
    <t>Qualifizierungsmaßnahmen</t>
  </si>
  <si>
    <t>Qualifizierung Büro</t>
  </si>
  <si>
    <t>Qualifizierung Stupa, Ausschüsse</t>
  </si>
  <si>
    <t>Qualifizierung AStA</t>
  </si>
  <si>
    <t>526.0</t>
  </si>
  <si>
    <t>Rechtsstreitigkeiten+ext.Beratungen</t>
  </si>
  <si>
    <t>526.10</t>
  </si>
  <si>
    <t>Rechtsanwalts-,Verfahrens- u.Gerichtskosten</t>
  </si>
  <si>
    <t>Steuerberatung u.Lohnbuchführung</t>
  </si>
  <si>
    <t>sonst. Beratungen</t>
  </si>
  <si>
    <t>527.0</t>
  </si>
  <si>
    <t>Reisekosten</t>
  </si>
  <si>
    <t>527.1</t>
  </si>
  <si>
    <t>Reisekosten AStA-Büro</t>
  </si>
  <si>
    <t>527.11</t>
  </si>
  <si>
    <t>Fahrtkosten+Verpf. AStA-Büro</t>
  </si>
  <si>
    <t>527.12</t>
  </si>
  <si>
    <t>Raumkosten+sonst. Kosten AStA-Büro</t>
  </si>
  <si>
    <t>527.13</t>
  </si>
  <si>
    <t>Unterkunftskosten AStA-Büro</t>
  </si>
  <si>
    <t>527.2</t>
  </si>
  <si>
    <t>Reisekosten SP+Ausschüsse+Sonstige</t>
  </si>
  <si>
    <t>527.21</t>
  </si>
  <si>
    <t>Fahrtkost.+Verpfl. SP</t>
  </si>
  <si>
    <t>527.22</t>
  </si>
  <si>
    <t>Raumkosten + sonst. Kosten SP</t>
  </si>
  <si>
    <t>527.23</t>
  </si>
  <si>
    <t>Unterkunftskosten SP</t>
  </si>
  <si>
    <t>527.24</t>
  </si>
  <si>
    <t>Fahrtk.+Verpfl. SP Ausschüsse</t>
  </si>
  <si>
    <t>527.25</t>
  </si>
  <si>
    <t>Raumkosten+Sonst.Kosten SP Ausschüsse</t>
  </si>
  <si>
    <t>527.26</t>
  </si>
  <si>
    <t>Unterkunftskosten SP Ausschüsse</t>
  </si>
  <si>
    <t>527.27</t>
  </si>
  <si>
    <t>FK+Verpfl. SP AT + Sonstige</t>
  </si>
  <si>
    <t>527.28</t>
  </si>
  <si>
    <t>Raumkosten+sonst.Kosten SP AT + Sonstige</t>
  </si>
  <si>
    <t>527.29</t>
  </si>
  <si>
    <t>Unterkunftskosten SP AT + Sonstige</t>
  </si>
  <si>
    <t>527.3</t>
  </si>
  <si>
    <t>Reiskosten AStA</t>
  </si>
  <si>
    <t>527.31</t>
  </si>
  <si>
    <t>Fahrtk.+Verpfl. AStA</t>
  </si>
  <si>
    <t>527.32</t>
  </si>
  <si>
    <t>Raumkosten AStA</t>
  </si>
  <si>
    <t>527.33</t>
  </si>
  <si>
    <t>Unterkunftskosten AStA Referate</t>
  </si>
  <si>
    <t>527.5</t>
  </si>
  <si>
    <t>Reisekosten AStA-Gäste + PG + Sonstige</t>
  </si>
  <si>
    <t>527.51</t>
  </si>
  <si>
    <t>Fahrtk.+Verpfl. AStA-Gäste</t>
  </si>
  <si>
    <t>527.52</t>
  </si>
  <si>
    <t>Raum- u. sonst.Kosten AStA-Gäste</t>
  </si>
  <si>
    <t>527.53</t>
  </si>
  <si>
    <t>Unterkunftskosten AStA-Gäste</t>
  </si>
  <si>
    <t>527.54</t>
  </si>
  <si>
    <t>Fahrtk.+Verpfl. AStA PG</t>
  </si>
  <si>
    <t>527.55</t>
  </si>
  <si>
    <t>Raum-+sonst.Kosten AStA PG</t>
  </si>
  <si>
    <t>527.56</t>
  </si>
  <si>
    <t>Unterkunftskosten ASTA PG</t>
  </si>
  <si>
    <t>527.6</t>
  </si>
  <si>
    <t>Reisekosten Unigremien + Sonstige</t>
  </si>
  <si>
    <t>527.61</t>
  </si>
  <si>
    <t>RK Funktion Unigremium</t>
  </si>
  <si>
    <t>527.62</t>
  </si>
  <si>
    <t>RK Sonstige</t>
  </si>
  <si>
    <t>529.0</t>
  </si>
  <si>
    <t>Bewirtungskosten</t>
  </si>
  <si>
    <t>Bewirtung AStA</t>
  </si>
  <si>
    <t>Bewirtung SP</t>
  </si>
  <si>
    <t>Bewirtung Sonstige</t>
  </si>
  <si>
    <t>SprachRohr, and. Publikationen</t>
  </si>
  <si>
    <t>Druckkosten SprRohr</t>
  </si>
  <si>
    <t>Versandkosten SprRohr</t>
  </si>
  <si>
    <t>Satzkosten SprRohr</t>
  </si>
  <si>
    <t>sonst. Kosten SprRohr</t>
  </si>
  <si>
    <t>532.0</t>
  </si>
  <si>
    <t>Ö-Arbeit, Web</t>
  </si>
  <si>
    <t>532.10</t>
  </si>
  <si>
    <t>532.20</t>
  </si>
  <si>
    <t>532.30</t>
  </si>
  <si>
    <t>Webseite</t>
  </si>
  <si>
    <t>533.0</t>
  </si>
  <si>
    <t>Auslandsbeziehungen</t>
  </si>
  <si>
    <t>533.10</t>
  </si>
  <si>
    <t>Hotelkosten Ausland</t>
  </si>
  <si>
    <t>533.20</t>
  </si>
  <si>
    <t>Reisekosten Ausland</t>
  </si>
  <si>
    <t>533.30</t>
  </si>
  <si>
    <t>Teilnahmebeiträge Ausland</t>
  </si>
  <si>
    <t>533.40</t>
  </si>
  <si>
    <t>sonst. Kosten Ausland</t>
  </si>
  <si>
    <t>Ausgaben für Fotokopierservice -alt-</t>
  </si>
  <si>
    <t>535.0</t>
  </si>
  <si>
    <t>Auslagen für Wahlen</t>
  </si>
  <si>
    <t>535.1</t>
  </si>
  <si>
    <t>Aufwandsentschäd. für Wahlen</t>
  </si>
  <si>
    <t>535.2</t>
  </si>
  <si>
    <t>Reisekosten Wahlen</t>
  </si>
  <si>
    <t>Fahrtk. + Verpfl. Wahlen</t>
  </si>
  <si>
    <t>Raum- u. sonst. Kosten Wahlen</t>
  </si>
  <si>
    <t>535.23</t>
  </si>
  <si>
    <t>Unterkunftskosten Wahlen</t>
  </si>
  <si>
    <t>535.5</t>
  </si>
  <si>
    <t>WahlRohr + Wahlunterlagen</t>
  </si>
  <si>
    <t>WahlRohr Versand</t>
  </si>
  <si>
    <t>WahlRohr Druck</t>
  </si>
  <si>
    <t>535.53</t>
  </si>
  <si>
    <t>536.0</t>
  </si>
  <si>
    <t xml:space="preserve">Durchführung von AStA Veranst. </t>
  </si>
  <si>
    <t>536.10</t>
  </si>
  <si>
    <t xml:space="preserve">Aufwandsentsch. AStA Veranst. </t>
  </si>
  <si>
    <t>536.11</t>
  </si>
  <si>
    <t>Fahrtk. + Verpfl. AStA Veranst.</t>
  </si>
  <si>
    <t>536.12</t>
  </si>
  <si>
    <t>Honorare  AStA Veranst. + RK Dozenten</t>
  </si>
  <si>
    <t>536.13</t>
  </si>
  <si>
    <t>Raum- u. sonst. Kosten AStA Veranst.</t>
  </si>
  <si>
    <t>536.14</t>
  </si>
  <si>
    <t>Unterkunftskosten AStA Veranst.</t>
  </si>
  <si>
    <t>536.15</t>
  </si>
  <si>
    <t>Bewirtungskosten AStA Veranst.</t>
  </si>
  <si>
    <t>---</t>
  </si>
  <si>
    <t>Zuschuss Bildungsherberge gGmbH</t>
  </si>
  <si>
    <t>538.0</t>
  </si>
  <si>
    <t>Veranstaltungen Hopo</t>
  </si>
  <si>
    <t>538.10</t>
  </si>
  <si>
    <t>Aufwandsentsch. Hopo</t>
  </si>
  <si>
    <t>538.11</t>
  </si>
  <si>
    <t>Fahrtk. + Verpfl. Hopo</t>
  </si>
  <si>
    <t>538.12</t>
  </si>
  <si>
    <t>Honorare Hopo</t>
  </si>
  <si>
    <t>538.13</t>
  </si>
  <si>
    <t>Raumkosten + sonst. Kosten Hopo</t>
  </si>
  <si>
    <t>538.14</t>
  </si>
  <si>
    <t>Unterkunftskosten Hopo</t>
  </si>
  <si>
    <t>538.15</t>
  </si>
  <si>
    <t>Bewirtungskosten Hopo</t>
  </si>
  <si>
    <t>539.00</t>
  </si>
  <si>
    <t>Verfügungsmittel Personalrat -alt-</t>
  </si>
  <si>
    <t>546.00</t>
  </si>
  <si>
    <t>vermischte Ausgaben</t>
  </si>
  <si>
    <t>550.0</t>
  </si>
  <si>
    <t>Inklusion u. Gleichstellung</t>
  </si>
  <si>
    <t>AE Inkl. u. Gleichstellung</t>
  </si>
  <si>
    <t>550.11</t>
  </si>
  <si>
    <t>Fahrtk.+Verpfl. Inkl.u.Gleichst.</t>
  </si>
  <si>
    <t>550.12</t>
  </si>
  <si>
    <t>Honorare u. RK Doz.+Teiln. Inkl.+Gleichst.</t>
  </si>
  <si>
    <t>550.13</t>
  </si>
  <si>
    <t>Raum-u.Unterk.Sitzungen+Veranst. I+G</t>
  </si>
  <si>
    <t>550.14</t>
  </si>
  <si>
    <t>Bewirtungskosten Sitz./Sem./Veranst. I+G</t>
  </si>
  <si>
    <t>550.15</t>
  </si>
  <si>
    <t>Raumk. Sem. u.Unterk. Doz.+Teiln. I+G</t>
  </si>
  <si>
    <t>550.16</t>
  </si>
  <si>
    <t>sonstige Kosten + Anschaffungen I+G</t>
  </si>
  <si>
    <t>550.17</t>
  </si>
  <si>
    <t>Rechtsangelegenheiten I+G</t>
  </si>
  <si>
    <t>Anschaffungen</t>
  </si>
  <si>
    <t>Ladestation E-Auto</t>
  </si>
  <si>
    <t>Videokonferenzraum</t>
  </si>
  <si>
    <t>SUMME PLAN 5</t>
  </si>
  <si>
    <t>686.0</t>
  </si>
  <si>
    <t>Zuweisung an Dritte u. FS, FSR-Konferenz</t>
  </si>
  <si>
    <t>686.1</t>
  </si>
  <si>
    <t>Unterstützung v. Interessengruppen</t>
  </si>
  <si>
    <t>686.11</t>
  </si>
  <si>
    <t>AE Unterstützung v. Interessengruppen</t>
  </si>
  <si>
    <t>686.12</t>
  </si>
  <si>
    <t>Fahrtk. + Verpfl. Unterst.IG</t>
  </si>
  <si>
    <t>Zuwendungen f. Allg.betrieb Unterst.IG</t>
  </si>
  <si>
    <t>686.14</t>
  </si>
  <si>
    <t>Raum- u. Unterkunftskosten Unterst. IG</t>
  </si>
  <si>
    <t>686.15</t>
  </si>
  <si>
    <t>Bewirtung Unterst. IG</t>
  </si>
  <si>
    <t>Zuwend. Rechtsangelegenh. Unterst. IG</t>
  </si>
  <si>
    <t>Mitgliedsbeiträge LAT</t>
  </si>
  <si>
    <t>Mitgliedsbeiträge DJHW</t>
  </si>
  <si>
    <t>686.2</t>
  </si>
  <si>
    <t>Zuweisung an FSR-Konferenzen</t>
  </si>
  <si>
    <t>Aufwandsentschädigungen FSR-K.</t>
  </si>
  <si>
    <t>Fahrtk.+Verpfl. FSR-Konferenz</t>
  </si>
  <si>
    <t>686.23</t>
  </si>
  <si>
    <t>Honorare FSR-Konf.+RK Dozenten</t>
  </si>
  <si>
    <t>Raum- u. Unterkunftskosten FSR-Konf.</t>
  </si>
  <si>
    <t>Bewirtung FSR-Konf.</t>
  </si>
  <si>
    <t>686.26</t>
  </si>
  <si>
    <t>sonstige Kosten FSR-Konf.</t>
  </si>
  <si>
    <t>686.3</t>
  </si>
  <si>
    <t>Zuweisung an Fachschaft WiWi</t>
  </si>
  <si>
    <t>686.31</t>
  </si>
  <si>
    <t>AE FS WiWi</t>
  </si>
  <si>
    <t>Fahrtk.+Verpfl. FS WiWi</t>
  </si>
  <si>
    <t>686.33</t>
  </si>
  <si>
    <t>Honorare und RK Doz. FS WiWi</t>
  </si>
  <si>
    <t>Raum- u. Unterk.f. Sitz.+Veranst.FS WiWi</t>
  </si>
  <si>
    <t>Bewirtungsk.f. Sitz./Veranst. FS WiWi</t>
  </si>
  <si>
    <t>Raumk. Sem. + Unterk. Doz.+Teiln. FS WiWi</t>
  </si>
  <si>
    <t>Bewirtungsk. Seminare FS WiWi</t>
  </si>
  <si>
    <t>686.38</t>
  </si>
  <si>
    <t>Sonst. Kosten +  Anschaff. FS WiWi</t>
  </si>
  <si>
    <t>686.39</t>
  </si>
  <si>
    <t>Rechtsangelegenheiten FS WiWi</t>
  </si>
  <si>
    <t>686.4</t>
  </si>
  <si>
    <t>Zuweisung an Fachschaft KSW</t>
  </si>
  <si>
    <t>686.41</t>
  </si>
  <si>
    <t>AE FS KSW</t>
  </si>
  <si>
    <t>Fahrtk.+Verpfl. FS KSW</t>
  </si>
  <si>
    <t>686.43</t>
  </si>
  <si>
    <t>Honorare und RK Doz. FS KSW</t>
  </si>
  <si>
    <t>Raum- u. Unterk.f. Sitz.+Veranst.FS KSW</t>
  </si>
  <si>
    <t>Bewirtungsk.f. Sitz./Veranst. FS KSW</t>
  </si>
  <si>
    <t>Raumk. Sem. + Unterk. Doz.+Teiln. FS KSW</t>
  </si>
  <si>
    <t>Bewirtungsk. Seminare FS KSW</t>
  </si>
  <si>
    <t>686.48</t>
  </si>
  <si>
    <t>Sonst. Kosten +  Anschaff. FS KSW</t>
  </si>
  <si>
    <t>686.49</t>
  </si>
  <si>
    <t>Rechtsangelegenheiten FS KSW</t>
  </si>
  <si>
    <t>686.5</t>
  </si>
  <si>
    <t>Zuweisung FS-Psychologie</t>
  </si>
  <si>
    <t>686.51</t>
  </si>
  <si>
    <t>AE FS Psych</t>
  </si>
  <si>
    <t>Fahrtk.+Verpfl. FS Psych</t>
  </si>
  <si>
    <t>686.53</t>
  </si>
  <si>
    <t>Honorare und RK Doz. FS Psych</t>
  </si>
  <si>
    <t>Raum- u. Unterk.f. Sitz.+Veranst.FS Psych</t>
  </si>
  <si>
    <t>Bewirtungsk.f. Sitz./Veranst. FS Psych</t>
  </si>
  <si>
    <t>Raumk. Sem. + Unterk. Doz.+Teiln. FS Psych</t>
  </si>
  <si>
    <t>Bewirtungsk. Seminare FS Psych</t>
  </si>
  <si>
    <t>686.58</t>
  </si>
  <si>
    <t>Sonst. Kosten +  Anschaff. FS Psych</t>
  </si>
  <si>
    <t>686.59</t>
  </si>
  <si>
    <t>Rechtsangelegenheiten FS Psych</t>
  </si>
  <si>
    <t>686.6</t>
  </si>
  <si>
    <t>Zuweisung Fachschaft ReWi</t>
  </si>
  <si>
    <t>686.61</t>
  </si>
  <si>
    <t>AE FS ReWi</t>
  </si>
  <si>
    <t>Fahrtk.+Verpfl. FS ReWi</t>
  </si>
  <si>
    <t>686.63</t>
  </si>
  <si>
    <t>Honorare und RK Doz. FS ReWi</t>
  </si>
  <si>
    <t>Raum- u. Unterk.f. Sitz.+Veranst.FS ReWi</t>
  </si>
  <si>
    <t>Bewirtungsk.f. Sitz./Veranst. FS ReWi</t>
  </si>
  <si>
    <t>Raumk. Sem. + Unterk. Doz.+Teiln. FS ReWi</t>
  </si>
  <si>
    <t>Bewirtungsk. Seminare FS ReWi</t>
  </si>
  <si>
    <t>686.68</t>
  </si>
  <si>
    <t>Sonst. Kosten +  Anschaff. FS ReWi</t>
  </si>
  <si>
    <t>686.69</t>
  </si>
  <si>
    <t>Rechtsangelegenheiten FS ReWi</t>
  </si>
  <si>
    <t>686.7</t>
  </si>
  <si>
    <t>Zuweisung Fachschaft METI</t>
  </si>
  <si>
    <t>686.71</t>
  </si>
  <si>
    <t>AE FS Meti</t>
  </si>
  <si>
    <t>Fahrtk.+Verpfl. FS Meti</t>
  </si>
  <si>
    <t>686.73</t>
  </si>
  <si>
    <t>Honorare und RK Doz. FS Meti</t>
  </si>
  <si>
    <t>Raum- u. Unterk.f. Sitz.+Veranst.FS Meti</t>
  </si>
  <si>
    <t>Bewirtungsk.f. Sitz./Veranst. FS Meti</t>
  </si>
  <si>
    <t>Raumk. Sem. + Unterk. Doz.+Teiln. FS Meti</t>
  </si>
  <si>
    <t>Bewirtungsk. Seminare FS Meti</t>
  </si>
  <si>
    <t>686.78</t>
  </si>
  <si>
    <t>Sonst. Kosten +  Anschaff. FS Meti</t>
  </si>
  <si>
    <t>686.79</t>
  </si>
  <si>
    <t>Rechtsangelegenheiten FS Meti</t>
  </si>
  <si>
    <t>686.8</t>
  </si>
  <si>
    <t>Studienbegleitende Veranstalt.</t>
  </si>
  <si>
    <t>Honorare Veranstalten RZ/StZ</t>
  </si>
  <si>
    <t>Zuschüssen RZ/StZ</t>
  </si>
  <si>
    <t>Sonstige Kosten RZ/StZ</t>
  </si>
  <si>
    <t>SUMME PLAN 6</t>
  </si>
  <si>
    <t>Darlehen an Studierende</t>
  </si>
  <si>
    <t>Darlehen für Auslandssemester</t>
  </si>
  <si>
    <t>SUMME PLAN 8</t>
  </si>
  <si>
    <t xml:space="preserve">Zuführung zur Rücklage </t>
  </si>
  <si>
    <t xml:space="preserve">Zuführung Sonderrücklage </t>
  </si>
  <si>
    <t>Zuführung zur Rücklage AStA Innovative Projekte</t>
  </si>
  <si>
    <t>SUMME PLAN 9</t>
  </si>
  <si>
    <t>SUMME Ausgaben</t>
  </si>
  <si>
    <t>Ergebnis (Einnahmen - Ausgaben)</t>
  </si>
  <si>
    <t>Soll zum 30.09.21</t>
  </si>
  <si>
    <t>Soll zum 30.09.22</t>
  </si>
  <si>
    <t>Rücklagen AStA Innovative Projekte</t>
  </si>
  <si>
    <t>./. Betriebsmittelrücklage (§12 Abs.2 HWVO)</t>
  </si>
  <si>
    <t>./. 5% Studierendenschaftsbeiträge</t>
  </si>
  <si>
    <t>freie Mittel</t>
  </si>
  <si>
    <t>./. Rücklagen für Wahlen (Ansatz: 18% Studierendenschaftsbeiträge)</t>
  </si>
  <si>
    <t>ungebundene Mittel</t>
  </si>
  <si>
    <t>412.20 (x0,4), 412.50 (x0,6)</t>
  </si>
  <si>
    <t>412.20 (x0,6), 412.50 (x0,4)</t>
  </si>
  <si>
    <t>425.13, 425.25, 527.11, 527.12, 527.13</t>
  </si>
  <si>
    <t>686.35 (x0,1)</t>
  </si>
  <si>
    <t>686.35 (x0,9), 686.37</t>
  </si>
  <si>
    <t>686.84, 686.23, 686.26</t>
  </si>
  <si>
    <t>341.00 (x1)</t>
  </si>
  <si>
    <t>341.00 (x0)</t>
  </si>
  <si>
    <t>527 42</t>
  </si>
  <si>
    <t>527 43</t>
  </si>
  <si>
    <t>527 44</t>
  </si>
  <si>
    <t>527 45</t>
  </si>
  <si>
    <t>551.45</t>
  </si>
  <si>
    <t>686.31 (x0,48)</t>
  </si>
  <si>
    <t>686.31 (x0,52), 686.41 (x0,87), 686.51 (x0,8), 686.61 (x0,33), 686.71 (x0,26)</t>
  </si>
  <si>
    <t>Variable AE Fachschaften (§ 44 d. Satzung)</t>
  </si>
  <si>
    <t>Variable AE Stupa, Ausschüsse, Arbeitsgruppen (§ 44 d. Satzung)</t>
  </si>
  <si>
    <t>Fernuni-Gremien (§ 44 d. Satzung)</t>
  </si>
  <si>
    <t>AStA-Veranstaltungen, Gäste, Sonstige (§ 44. d. Satzung)</t>
  </si>
  <si>
    <t>Fest-AE SP-Vorsitz, HHA-Vorsitz, AG-Sprecher (§ 43 d. Satzung)</t>
  </si>
  <si>
    <t>Fest-AE Fachschaften (Fester Wert, 5*800*12) (§ 43 d. Satzung)</t>
  </si>
  <si>
    <t>Fahrtkosten u. Verpfl.-Pauschale Stupa u. Ausschüsse</t>
  </si>
  <si>
    <t>Ich höre nichts!</t>
  </si>
  <si>
    <t>686.71 (x0,74)</t>
  </si>
  <si>
    <t>511.10,  511.15</t>
  </si>
  <si>
    <t>690.00 (x0,685)</t>
  </si>
  <si>
    <t>690.00 (x0,315)</t>
  </si>
  <si>
    <t>Verwaltungs- und Druckkosten</t>
  </si>
  <si>
    <t>Seminarplan</t>
  </si>
  <si>
    <t xml:space="preserve">Fachschaftsratsitzung: Online: 8 TN a 8 Stunden, davon 6x 40 € (halbiert) und 2x 80 € AE (unhalbiert); Präsenz: Ein Wochenende eintägige Sitzung, 8 TN, davon 6x 90 € AE (halbiert) und 2x 180 € AE (unhalbiert). 8 Anreisen, 12 Übernachtungen (BHS: 32 €/Nacht); Hybrid: Mittelwert </t>
  </si>
  <si>
    <t>Fachschaftsratsitzung 3x</t>
  </si>
  <si>
    <t>Sitzungen und Treffen von Arbeitsgruppen für zweckgebundene Zusammenarbeit unterhalb von Fachschaftssitzungen je nach Beschluss des FSR</t>
  </si>
  <si>
    <t>Seminarbetreuung</t>
  </si>
  <si>
    <r>
      <t xml:space="preserve">10 Präsenzseminare zu den Grundlagen Mathe und Statistik zu je 17,75 Stunden. Es werden neben dem Honorar (siehe obige Ausführungen) folgende Kosten der Dozierenden pro Seminar erwartet: 100 € Fahrtkosten, 200 € Unterkunftskosten. Bewirtung: Sozialadäquate Kleinigkeiten unterhalb einer Mahlzeit: 30 €/Seminar.  </t>
    </r>
    <r>
      <rPr>
        <b/>
        <sz val="11"/>
        <rFont val="Calibri"/>
        <family val="2"/>
        <scheme val="minor"/>
      </rPr>
      <t>Seminarbetreuung:</t>
    </r>
    <r>
      <rPr>
        <sz val="11"/>
        <rFont val="Calibri"/>
        <family val="2"/>
        <scheme val="minor"/>
      </rPr>
      <t xml:space="preserve"> AE: 120 €/Seminar zzgl. Reisekosten und Unterkunft: 100 €/Seminar. Hieraus ergibt sich ein Teilnahmebeitrag iHv. 90 € pP bei erwarteten 15 TN.</t>
    </r>
  </si>
  <si>
    <t>Verwaltungs- und Druckkosten Seminare</t>
  </si>
  <si>
    <r>
      <rPr>
        <b/>
        <sz val="8"/>
        <color theme="1"/>
        <rFont val="Calibri"/>
        <family val="2"/>
        <scheme val="minor"/>
      </rPr>
      <t>Kontenerklärung:</t>
    </r>
    <r>
      <rPr>
        <sz val="8"/>
        <color theme="1"/>
        <rFont val="Calibri"/>
        <family val="2"/>
        <scheme val="minor"/>
      </rPr>
      <t xml:space="preserve"> Den angegebenen Werten liegt ein Seminar-Rahmenplan der Fachschaft zugrunde. Es handelt sich um Budgetierungen. Im Rahmen dieser Budgets können die Fachschaften unter Beachtung des vom Studierendenparlament vorgegebenen Rahmen und den Vorschriften den HWVO mit Dozierenden Honorare in Höhe von 35 bis 65 € pro Zeitstunde aushandeln. Durch buchhalterische Verfahren wird sichergestellt, dass die Seminare weder Gewinne noch Verluste produzieren: Jedes Seminar wird hierzu in einem buchhalterischen Nebenkonto einzeln erfasst inklusive Neben- und  Verwaltungskosten, so dass für jedes einzelne Seminar Einnahmen und Ausgaben auswertbar gemacht werden. Hierdurch wird ermöglicht, etwaige Gewinne an die Teilnehmer*innen zurückzugeben oder bei Verlusten nachzufordern, so dass keine Studierendengelder für Nachhilfe verwendet werden. Von Nachforderungen und Rückerstattungen wird abgesehen, wenn der Betrag pro Teilnehmer nicht 5 € erreicht.</t>
    </r>
  </si>
  <si>
    <t>Seminarplan (vorwiegend extern)</t>
  </si>
  <si>
    <t>Mit Erhöhung EG und WAZ HHJ 2022/2023</t>
  </si>
  <si>
    <t>Dez 22 Tariferhöhung</t>
  </si>
  <si>
    <t>Oktober bis Dezember 2022</t>
  </si>
  <si>
    <t>E9b Stufe 5</t>
  </si>
  <si>
    <t>28 Stunden</t>
  </si>
  <si>
    <t>E10 Stufe 2</t>
  </si>
  <si>
    <t>39 Stunden 50 Minuten</t>
  </si>
  <si>
    <t>E10 Stufe 6</t>
  </si>
  <si>
    <t>30 Stunden</t>
  </si>
  <si>
    <t>E9a Stufe 3</t>
  </si>
  <si>
    <t>Gesamtsumme Oktober bis Dezember 2022 inkl. Einmalzahlung</t>
  </si>
  <si>
    <t>Januar bis September 2023</t>
  </si>
  <si>
    <t>Summe*</t>
  </si>
  <si>
    <t xml:space="preserve">Fachschaftsratsitzung: Online: 7 TN a 3 Stunden, davon 5x 20 € (halbiert) und 2x 40 € AE (unhalbiert); </t>
  </si>
  <si>
    <t>4 Online-Seminare zum Verwaltungsrecht wie oben bei Strafrecht</t>
  </si>
  <si>
    <t>4 Online-Seminare zum Arbeitsvertrags- und Unternehmensrecht wie oben bei Strafrecht</t>
  </si>
  <si>
    <t>5 Klausuren- und Hausarbeitskurse, wie oben beim Strafrecht</t>
  </si>
  <si>
    <t>4 Online-Seminare zum BGB-Sachenrecht. Es wird mit einem durchschnittlichen Honorar iHv. 60 € / Std. gerechnet. Es werden etwa 20 Teilnehmer*innen pro Seminar erwartet, woraus sich ein TN-Beitrag von ca. 48,50 € ergibt. Ansonsten gilt das Obige.</t>
  </si>
  <si>
    <t>5 Online-Seminare zum Strafrecht im Umfang von je ca. 14,5 Std. Es wird mit einem durchschnittlichen Honorar von 55 € gerechnet. Erwartet werden etwa 15 Teilnehmer*innen pro Seminar, woraus sich ein TN-Beitrag von ca. 58,50 € ergibt. Ansonsten gilt das Obige.</t>
  </si>
  <si>
    <t>Honorare für kostenfreie, allgemeine Vorträge</t>
  </si>
  <si>
    <t>Stand 30.09.22</t>
  </si>
  <si>
    <t>wundercoach</t>
  </si>
  <si>
    <t>Lizenzkosten Zoom und wundercoach</t>
  </si>
  <si>
    <t>3 Online-Seminare zu lehrgebietsspezifischen Themen der Fakultät, noch nicht näher benannt. Die Planung orientiert sich an den obigen Seminaren zu Qualitativen und Quantitativen Methoden.</t>
  </si>
  <si>
    <t>4 Online-Seminare zu Quantitativen und Qualitativen Methoden zu je 14 Stunden.  Es liegen keine Erfahrungswerte bzgl. erforderlichen Honorare und Teilnahmen vor. Es werden aber 55 €/Std. für Dozierende erwartet und 20 Teilnehmer*innen angestrebt, woraus sich ein TN-Beitrag von ca. 45 € ergibt.</t>
  </si>
  <si>
    <t>2x Online-Workshop Kommunikation für alle Fakultäten</t>
  </si>
  <si>
    <t>2x Workshop MS Word für alle Fakultäten</t>
  </si>
  <si>
    <t xml:space="preserve">Fachschaftsratsitzung: Online: 8 TN a 4 Stunden, davon 6x 20 € (halbiert) und 2x 40 € AE (unhalbiert); Präsenz: Ein Wochenende eintägige Sitzung, 8 TN, davon 6x 90 € AE (halbiert) und 2x 180 € AE (unhalbiert). 8 Anreisen, 12 Übernachtungen (BHS: 32 €/Nacht); Hybrid: Mittelwert </t>
  </si>
  <si>
    <t>Fachschaftsratssitzung 4x</t>
  </si>
  <si>
    <t>Fachschaftsratssitzung 2x</t>
  </si>
  <si>
    <t>Arbeitsgruppe Lehrpreis und Qualitätsverbesserung: 4 TN, 3 Sitzungen a 4 Std., AE je 3x 20 €, 1x 40 €</t>
  </si>
  <si>
    <t>Fachschaftsrätekonferenz: 4 TN, ein Wochenende, AE ca. 80 € pP, RK ca. 80 pP., 8 Übernachtungen BHS a 32 €</t>
  </si>
  <si>
    <t>Klausurtagung, Team building: 5 TN, ein Wochenende, sonst wie FSRK, 10 Übernachtungen BHS, Seminarraum klein BHS: 200 €</t>
  </si>
  <si>
    <t>Interne Schulung in der BHS, ein Wochenende, 5 TN, 8 Übernachtungen</t>
  </si>
  <si>
    <t>Online-Aufbaukurs VBA, 3-teilig a 14,5 Std. Es wird mit einem durchschnittlichen Honorar von 55 € gerechnet. Hinsichtlich TN-Zahlen gibt es keine Erfahrungswerte, angestrebt werden 10 TN pro Seminar, woraus sich ein TN-Beitrag iHv. etwa 88 € ergibt.</t>
  </si>
  <si>
    <t>12 Online-Seminare "Java Bootcamp" a 16 Stunden. Honorar: Es wird mit einem Durchschnitt von 55 €/Std. gerechnet. Erwartet werden je ca. 10 Teilnehmer*innen, woraus sich ein TN-Beitrag iHv. 96,50 € ergibt.</t>
  </si>
  <si>
    <t>Basiskalkulationen: Anteilige Aufwandsentschädigung Seminarkoordination: 50% der jährlichen Bezüge, i.e.: 960 € durch Anzahl der Seminare. Hier 21, ergibt gerundet 45,50 € AE pro Seminar. Es werden mit den Dozierenden je nach Qualifikation und Anforderungen Honorare zwischen 35 und 65 € entsprechend dem Rahmenbeschluss des SP ausgehandelt. Grundsätzlich wird sich hier am Rahmen der Entlohnung von Dozierenden an der FernUni bewegt. Werbungskosten: 65 € = 5 €/Seminar; Verwaltungskosten: 3 € pro Teilnehmer; Zoom: Anteilig ca. 100 €/Jahr = 5 €/Seminar</t>
  </si>
  <si>
    <t>Basiskalkulationen: Anteilige Aufwandsentschädigungen Seminarkoordination  50% der jährlichen Bezüge, i.e.: 960 € durch Anzahl der Seminare. Hier 30, ergibt gerundet 32 €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40 €/Seminar; Werbungskosten: 150 € = 5 €/Seminar; Verwaltungskosten: 3 € pro Teilnehmer; Zoom/Adobe: 100 €/Jahr =  3 €/Seminar</t>
  </si>
  <si>
    <t xml:space="preserve">8 Online-Seminare zum BGB-Schuldrecht. Umfang etwa 14,5 Stunden.  Es wird mit einem Durchschnitt von 55 €/Std. gerechnet. Erwartet werden etwa 20 Teilnehmer*innen pro Seminar, woraus sich ein TN-Beitrag von ca. 45 € ergibt. </t>
  </si>
  <si>
    <t>Basiskalkulationen: Anteilige Aufwandsentschädigungen Seminarkoordination: 50% der jährlichen Bezüge, i.e.:  1.200 € durch Anzahl der Seminare. Hier 28, ergibt gerundet 43 € AE pro Seminar.  Es werden mit den Dozierenden je nach Qualifikation und Anforderungen Honorare zwischen 35 und 65 € entsprechend dem Rahmenbeschluss des SP ausgehandelt. Grundsätzlich wird sich hier am Rahmen der Entlohnung von Dozierenden an der FernUni bewegt. Verwaltungskosten: 1 € pro Teilnehmer, niedrig angesetzt aufgrund einer Vielzahl gleichartiger Fälle aufgrund hoher TN-Zahlen</t>
  </si>
  <si>
    <t xml:space="preserve">4 Online-Seminare zum Thema Statistik für Master Studierende zu je 12 Std.; Honorar: Es wird mit einem Durchschnitt von 45 €/Std. gerechnet. Erwartet werden etwa 40 Teilnehmer*innen pro Seminar, woraus sich ein TN-Beitrag von 15,60 € ergibt. </t>
  </si>
  <si>
    <t xml:space="preserve">6 Online-Seminare zum Thema Test- &amp; Fragebogenkonstruktion zu je 17 Std.; Honorar:  Es wird mit einem Durchschnitt von 45 €/Std. gerechnet. Erwartet werden etwa 90 Teilnehmer*innen pro Seminar, woraus sich ein TN-Beitrag von 10,00 € ergibt. </t>
  </si>
  <si>
    <t xml:space="preserve">6 Online-Seminare zum Thema Statistik zu je 17 Std.; Honorar: Es wird mit einem Durchschnitt von 45 €/Std. gerechnet. Erwartet werden etwa 90 Teilnehmer*innen pro Seminar, woraus sich ein TN-Beitrag von 10,00 € ergibt. </t>
  </si>
  <si>
    <t xml:space="preserve">8 Online Crash-Seminare zum Thema Statistik zu je 20 Std.; Honorar: Es wird mit einem Durchschnitt von 45 €/Std. gerechnet. Erwartet werden etwa 90 Teilnehmer*innen pro Seminar, woraus sich ein TN-Beitrag von 11,50 € ergibt. </t>
  </si>
  <si>
    <t xml:space="preserve">4 Online-Crash-Seminare zum Thema Test- &amp; Fragebogenkonstruktion zu je 20 Std.; Honorar: Es wird mit einem Durchschnitt von 45 €/Std. gerechnet. Erwartet werden etwa 90 Teilnehmer*innen pro Seminar, woraus sich ein TN-Beitrag von 11,50 € ergibt. </t>
  </si>
  <si>
    <t>5 Online-Seminare zum Wissenschaftlichen Arbeiten für alle Fakultäten zu je 8 Std. Es wird mit einem Durchschnitt von 55 €/Std. gerechnet. Erwartet werden etwa 30 Teilnehmer*innen pro Seminar, woraus sich ein TN-Beitrag von ca. 19,50 € ergibt.</t>
  </si>
  <si>
    <t>Basiskalkulationen: Anteilige Aufwandsentschädigung Seminarkoordination: 50% der jährlichen Bezüge, i.e.: 750 € durch Anzahl der Seminare. Hier 12, ergibt gerundet 62,50 €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900 €/Jahr = 75/Seminar; Werbungskosten: 120 € = 10 €/Seminar; Verwaltungskosten: 2 € pro Teilnehmer bei Seminaren über 30 TN, sonst 3 €; Zoom: Anteilig ca. 100 €/Jahr = 8 €/Seminar</t>
  </si>
  <si>
    <t>Basiskalkulationen: Anteilige Aufwandsentschädigungen Seminarkoordination und Öffentlichkeitsarbeit: Je 50% der jährlichen Bezüge, i.e.: Je 1.200 € durch Anzahl der Seminare. Hier 54, ergibt gerundet 45 €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22,50/Seminar; Werbungskosten: 500 € = 9,50/Seminar; Verwaltungskosten: 3 € pro Teilnehmer; Zoom: Anteilig ca. 100 €/Jahr = 2 €/Seminar</t>
  </si>
  <si>
    <t xml:space="preserve">12 Online-Seminare zum Thema Öffentliche Ausgaben zu je 17.75 Std.; Honorar:  Es wird mit einem Durchschnitt von 45 €/Std. gerechnet. Erwartet werden etwa 15 Teilnehmer*innen pro Seminar, woraus sich ein TN-Beitrag von 60 € ergibt. </t>
  </si>
  <si>
    <t>12 Online-Seminare zu den Themengebieten Rechnungswesen, Rechnungslegung und Controlling. Ansonsten gelten die obigen Ausführungen.</t>
  </si>
  <si>
    <t>10 Online-Seminare zu den Themengebieten Einführung in die Wiwi, Mikro- und Makroökonomik, Markt und Staat und Finanzwirtschaft. Ansonsten gelten die obigen Ausführungen</t>
  </si>
  <si>
    <t>10 Online-Seminare zu den Themen Investition und Finanzierung, Finanzintermediation und Bankmanagement, Finanzintermediation und Bankmanagement, Preisbildung auf unvollkommenen Märkten, Modellierung von Informationssystemen, Einführung in die objektorientierte Programmierung. Ansonsten gelten die obigen Ausführungen</t>
  </si>
  <si>
    <t>5 Online Seminare SQL zu je 8 Std. Es wird mit durchschnittlichen Honorarkosten von 55 € gerechnet. Erfahrungswerte zu Teilnahmezahlen sind nicht vorhanden, angestrebt wird eine Teilnahme von 10 TN pro Seminar, woraus sich ein TN-Beitrag von etwa 52 € pP ergibt.</t>
  </si>
  <si>
    <t xml:space="preserve">Fachschaftsratsitzung: Online: 6 TN a 4 Stunden, davon 4x 20 € (halbiert) und 2x 40 € AE (unhalbiert); Präsenz: Ein Wochenende eintägige Sitzung, 6 TN, davon 4x 90 € AE (halbiert) und 2x 180 € AE (unhalbiert). 6 Anreisen, 10 Übernachtungen (BHS: 32 €/Nacht); Hybrid: Mittelwert </t>
  </si>
  <si>
    <t>Fachschaftsratssitzung 5x</t>
  </si>
  <si>
    <t>Fachschaftsratssitzuung 1x</t>
  </si>
  <si>
    <r>
      <rPr>
        <b/>
        <sz val="10"/>
        <color theme="1"/>
        <rFont val="Calibri"/>
        <family val="2"/>
        <scheme val="minor"/>
      </rPr>
      <t xml:space="preserve">Kontenerklärung: </t>
    </r>
    <r>
      <rPr>
        <sz val="10"/>
        <color theme="1"/>
        <rFont val="Calibri"/>
        <family val="2"/>
        <scheme val="minor"/>
      </rPr>
      <t>Siehe Blatt WiWi an gleicher Stelle</t>
    </r>
  </si>
  <si>
    <t>Barrierearmut, Ausgleich von Vorjahreskosten</t>
  </si>
  <si>
    <t>z.B. kleine (Schönheits)Reparaturen</t>
  </si>
  <si>
    <t>Wirtschaftlich erforderlich für Ausgleich Cash-Flow im lfd. Wirtschaftsjahr, auch weil die wirtschaftliche Situation infolge der Pandemie kaum noch prognostizierbar ist</t>
  </si>
  <si>
    <t>var</t>
  </si>
  <si>
    <t>425.25, 527.11, 527.12, 527.13</t>
  </si>
  <si>
    <t xml:space="preserve">511.10,  511.15, </t>
  </si>
  <si>
    <t>686.31 (x0,5), 686.41 (x0,87), 686.51 (x0,8), 686.61 (x0,33), 686.71 (x0,26)</t>
  </si>
  <si>
    <t>686.31 (x0,5)</t>
  </si>
  <si>
    <t>686.71 (0,74)</t>
  </si>
  <si>
    <t>Stand 30. Sep. 2022</t>
  </si>
  <si>
    <t>Spalte2</t>
  </si>
  <si>
    <t>2022/2023</t>
  </si>
  <si>
    <t>2022 / 2023</t>
  </si>
  <si>
    <t>Alt</t>
  </si>
  <si>
    <t>SP-Beschluss 24.09.22</t>
  </si>
  <si>
    <t>12-Regelung
Oktober 2022</t>
  </si>
  <si>
    <t>12-Regelung
November 2022</t>
  </si>
  <si>
    <t>12-Regelung
Dezember 2022</t>
  </si>
  <si>
    <t>31.09.2023</t>
  </si>
  <si>
    <t>427.00</t>
  </si>
  <si>
    <t>511.50</t>
  </si>
  <si>
    <t>517.20</t>
  </si>
  <si>
    <t>525.00</t>
  </si>
  <si>
    <t>527.60</t>
  </si>
  <si>
    <t>533.00</t>
  </si>
  <si>
    <t>535.10</t>
  </si>
  <si>
    <t>535.20</t>
  </si>
  <si>
    <t>535.50</t>
  </si>
  <si>
    <t>537.00</t>
  </si>
  <si>
    <t>538.00</t>
  </si>
  <si>
    <t>neu</t>
  </si>
  <si>
    <t>IST zum 30.09.22</t>
  </si>
  <si>
    <t>Mitgliedschaft Bundesverband BRF</t>
  </si>
  <si>
    <t>nach Klärung der Rechts- und Sachlage</t>
  </si>
  <si>
    <t>IST HHJ 22-23
31.10.2022</t>
  </si>
  <si>
    <t>IST HHJ 22-23
30.11.2022</t>
  </si>
  <si>
    <t>IST HHJ 22-23
15.12.2022</t>
  </si>
  <si>
    <t>SOLL 20-21</t>
  </si>
  <si>
    <t>IST 20-21</t>
  </si>
  <si>
    <t>SOLL HHJ 23-24</t>
  </si>
  <si>
    <t xml:space="preserve">IST HHJ 22-23 </t>
  </si>
  <si>
    <t>HHJ 23-24</t>
  </si>
  <si>
    <t>Stellenplan Personal ab 01.10.2023</t>
  </si>
  <si>
    <t>Ab Oktober 2023</t>
  </si>
  <si>
    <t>Ab Oktober ist aufgrund der Neuverhandlung</t>
  </si>
  <si>
    <t>des TV-L  mit mindestens 10% Kostensteigerung zu rechnen</t>
  </si>
  <si>
    <t>AStA-Referate HHJ 23-24</t>
  </si>
  <si>
    <t>Vorgesehen ist eine neue Stelle im Bereich ÖA, Presse, Design und Layout</t>
  </si>
  <si>
    <t>Gesamt brutto inkl AG-Kosten HHJ 2023/2024</t>
  </si>
  <si>
    <t>Ab Dezember 2023</t>
  </si>
  <si>
    <t>Mieten HHJ 23-24</t>
  </si>
  <si>
    <t>Lizenzen HHJ 23-24</t>
  </si>
  <si>
    <t>Auslaufend!</t>
  </si>
  <si>
    <t>Anschaffungsplan HHJ 23-24</t>
  </si>
  <si>
    <t>ggf. aufgrund von Datenschutzanforderungen - Keine Anschaffung in 22-23</t>
  </si>
  <si>
    <t>Rücklagenbildung energetische Sanierung</t>
  </si>
  <si>
    <t>Maßnahme 2: Seminarreihe Wissenschaftliches Arbeiten (WiSe) (6 Termine à 2 Stunden)</t>
  </si>
  <si>
    <t>Maßnahme 3: Seminarreihe Wissenschaftliches Arbeiten (SoiSe) (6 Termine à 2 Stunden)</t>
  </si>
  <si>
    <t>Maßnahme 4: Seminarreihe Wissenschaftliches Arbeiten mit WORD (WiSe) (4 Termine à 2 Stunden)</t>
  </si>
  <si>
    <t>Maßnahme 5: Seminarreihe Wissenschaftliches Arbeiten mit WORD (SoSe) (4 Termine à 2 Stunden)</t>
  </si>
  <si>
    <t xml:space="preserve">Workshop 1 Inklusion und Gleichstellung (evt. Kooperation mit der FernUni) </t>
  </si>
  <si>
    <t>Workshop Gleichstellung (Orange Day)</t>
  </si>
  <si>
    <t>Workshop Rassismus</t>
  </si>
  <si>
    <t xml:space="preserve">Kinderlernwochen (25 Studierende mit Kindern, insgesamt 6 Wochen, Zimmer BHS plus Seminarraum; Teilnahmebeitrag 50-80 €) </t>
  </si>
  <si>
    <t>Rechtsberatung (für Studierende mit Beeinträchtigungen sowie mit Kindern (Mutterschutz); wöchentlich je 1 Stunde)</t>
  </si>
  <si>
    <t>Anschaffung Bildschirmlesegerät (Beschluss bereits vorhanden)</t>
  </si>
  <si>
    <t>Messebesuche (Sight City, RehaCare)</t>
  </si>
  <si>
    <t>Maßnahme 1: Interaktive PDFs</t>
  </si>
  <si>
    <t>Maßnahme 2: Verknüpfung SR mit Social Media</t>
  </si>
  <si>
    <t>Projektgruppe Digitalisierung</t>
  </si>
  <si>
    <t>Maßnahme 1: Digitalisierung der Reisekostenabrechnungen: Beratungsleistungen, Testsoftware, ext. Dienstleistungen</t>
  </si>
  <si>
    <t>Soziales</t>
  </si>
  <si>
    <t>Betreuung der Standorte - Präsenztreffen, Teilnahme an Start-it-Ups, AG-Gründungstreffen der Fakultäten, Get togethers, sonstige Veranstaltungen etc. durch Referat und Studierendenvertretung WS 23/24 und SoSe24</t>
  </si>
  <si>
    <t>Förderung von Veranstaltungen in den Regionalzentren, falls sich eine Einigung über die rechtlichen Grundlagen ergibt</t>
  </si>
  <si>
    <t>Werbematerialien (Flyer, Merch, Informationsmaterial)</t>
  </si>
  <si>
    <t>HHJ 23-24 - Leistungen Dritter</t>
  </si>
  <si>
    <t>HHJ 23-24 - IT-Dienstleistungen</t>
  </si>
  <si>
    <t>Basiskalkulationen: Anteilige Aufwandsentschädigungen Seminarkoordination und Öffentlichkeitsarbeit: Je 50% der jährlichen Bezüge, i.e.: 600 € + 1.200 € durch Anzahl der Seminare. Hier 50, ergibt gerundet 36 € AE pro Seminar.  Es werden den Dozierenden je nach Qualifikation Honorare zwischen 35 und 45 €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</si>
  <si>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50 Online-Seminare entsprechend des Beschlusses des Fachschaftsrates WiWi</t>
  </si>
  <si>
    <t>Freie Eingabe HHHJ 23-24</t>
  </si>
  <si>
    <t>Rechnung HHJ 22-232</t>
  </si>
  <si>
    <t>Rechnung HHJ 23-24</t>
  </si>
  <si>
    <t>Wissenschaftliches Arbeiten - Grundlagen</t>
  </si>
  <si>
    <t>Wissenschaftliches Arbeiten - Textanalyse</t>
  </si>
  <si>
    <t>Wissenschaftliches Arbeiten - WORD</t>
  </si>
  <si>
    <t>Seminar Statistik</t>
  </si>
  <si>
    <t>Fachseminar Expose</t>
  </si>
  <si>
    <t>Politische Veranstaltung zum Thema "Rechtsradikalismus"</t>
  </si>
  <si>
    <t>Politische Veranstaltung "Kommunalwesen"</t>
  </si>
  <si>
    <t>Politische Veranstaltung "Vogelsang"</t>
  </si>
  <si>
    <t>Zu M2 - T1, T2, T3</t>
  </si>
  <si>
    <t>Zu MM1 - T1, T2</t>
  </si>
  <si>
    <t>Chrash M2 - T1, T2, T3</t>
  </si>
  <si>
    <t>Zu M6a - T1, T2, T3; Chrash M6a - T1, T2</t>
  </si>
  <si>
    <t>Freie Eingabe Plan 22-232</t>
  </si>
  <si>
    <t>Freie Eingabe Plan 23-24</t>
  </si>
  <si>
    <t>Freie Eingabe Plan HHJ 22-232</t>
  </si>
  <si>
    <t>Rechnung HHJ 22-233</t>
  </si>
  <si>
    <t>Maßnahme 3: Beschaffung neues Buchhaltungsprogramm</t>
  </si>
  <si>
    <t>Aktuell werden entgegen dem SP-Beschluss 9 € eingezogen.</t>
  </si>
  <si>
    <t>Es wird versucht eine Möglichkeit zu finden, dies über das HHJ auszugleichen</t>
  </si>
  <si>
    <t>Konzeptionierung eines Digitalen SR in Form eines Newsmagazins  Ziel soll es sein, die Fachschaften und den AStA auch neben den Quartalsterminen in die Lage zu versetzen Texte zu publizieren.
Neben den Websites der Fachschaften bietet dieses Vorgehenswiese den Vorteil, dass alle Texte / Infos etc. an einem Ort gebündelt sind. 
Es gibt leider keine Infos zu Kosten von Nachrichtenseiten etc. – Deswegen orientieren wir uns an Homepagekosten. Die Schätzungen gehen hier weit auseinander und liegen zwischen 2.000 und 20.000 €.  Quelle: https://www.jimdo.com/de/magazin/wie-viel-kostet-eine-website-fuer-ein-unternehmen/#:~:text=Eine%20durchschnittliche%20Website%20mit%20nur,700%20bis%2010.000%20%E2%82%AC%20kosten.
Richtig ist aber auch, dass es auf den Umfang ankommt. Für weitere Ausführungen wird auf die Anlage verwiesen.</t>
  </si>
  <si>
    <t>Im Zuge der Digitalisierung wäre evtl. eine eigene App sinnvoll. Auch eine App zu bepreisen ist nicht leicht und es gibt von x bis y! Unsere App soll keine Spielfunktion haben, sondern einfach, organisatorische und informative Dinge erledigen. Deswegen würde ich die Entwicklung im unteren Bereich ansetzen. Ein grober Kostenrahmen scheint im Bereich 30.000 bis 40.000 € zu bestehen. Für weitere Details wird auf die Anlage verwiesen.</t>
  </si>
  <si>
    <t>Eine konkretere Kalkulation liegt nicht vor.</t>
  </si>
  <si>
    <t>Maßnahme 3:Newsletter Konzeptionierung eines Newsletters: 
Wir benötigen ein Layout für einen Newsletter
Es soll über unsere Arbeit berichtet werden und über Veranstaltungen an der Uni oder in Zusammenhang mit dem Studium -&gt; Bspw. Erkenntnisse, Seminare oder SprachRohr  Je nach Komplexität Kostenschätzungen zwischen 100 und 5000 €
Lt. Pascal Gluth haben wir bereits die Add-Ins für den Newsletter für die HP Quelle: https://www.4imedia.com/mail-marketing/kosten-fuer-einen-newsletter/
Wir sollten auch etwas mehr Geld einplanen, da ich denke auch zu Beginn wird es noch ein paar Verbesserungen geben müssen und um auf der Sicheren Seite zu sein.</t>
  </si>
  <si>
    <t>Externe Vergabe von ÖA, Presse, Repräsentations- und Layoutaufgaben</t>
  </si>
  <si>
    <t>Erläuterungen im Referatsplan sowie in der Anlage</t>
  </si>
  <si>
    <t>Enthält spezialisierte Rechtsberatung Inklusion und Gleichstellung</t>
  </si>
  <si>
    <t>Freie Eingabe NHH 23-24</t>
  </si>
  <si>
    <t>Rechnung NHH 23-24</t>
  </si>
  <si>
    <t>Freie Eingabe HHJ 23-24</t>
  </si>
  <si>
    <t>IST HHJ 23-24</t>
  </si>
  <si>
    <t>Kalkulationen und Auswertungen</t>
  </si>
  <si>
    <r>
      <rPr>
        <b/>
        <sz val="11"/>
        <color theme="1"/>
        <rFont val="Calibri"/>
        <family val="2"/>
        <scheme val="minor"/>
      </rPr>
      <t>Deckungsfähigkeiten:</t>
    </r>
    <r>
      <rPr>
        <sz val="11"/>
        <color theme="1"/>
        <rFont val="Calibri"/>
        <family val="2"/>
        <scheme val="minor"/>
      </rPr>
      <t xml:space="preserve"> Die Ausgaben der Fachschaft sind untereineinander teilweise deckungsfähig. Einnahmen über Plan verstärken Gegentitel. Mittel aus den Konten 551.11 bis 551.51 dürfen nicht  zur Deckung von anderen Konten verwendet werden: Keine Verschiebung vom Seminarbetrieb zum Verwaltungsbetrieb.</t>
    </r>
  </si>
  <si>
    <t>Fahrtkosten und Verpflegungspauschalen intern</t>
  </si>
  <si>
    <t>Bilanz SOLL</t>
  </si>
  <si>
    <t>Bilanz IST</t>
  </si>
  <si>
    <t>SOLL und IST HHJ 24-25</t>
  </si>
  <si>
    <t>Haushaltstitel:</t>
  </si>
  <si>
    <t>Datum:</t>
  </si>
  <si>
    <t>Dozierende o. Beschreibung</t>
  </si>
  <si>
    <t>Lizenzkosten: Wundercoach: 1200 €, Zoom: 140 €, interne Verwaltungskosten (3 € pro TN)</t>
  </si>
  <si>
    <t>Mikro- und Makroökonomik (Mikro-Teil)</t>
  </si>
  <si>
    <t>12.01.-14.01.2024</t>
  </si>
  <si>
    <t>Elisabeth Löckener</t>
  </si>
  <si>
    <t>Einführung in die ojektivierte Programmierung</t>
  </si>
  <si>
    <t>13.01.-14.01.2023</t>
  </si>
  <si>
    <t>Dominik Prümer</t>
  </si>
  <si>
    <t>Produktionsplanung</t>
  </si>
  <si>
    <t>19.01.-21.01.2024</t>
  </si>
  <si>
    <t>Instrumente des Controllings</t>
  </si>
  <si>
    <t>26.01.-28.01.2024</t>
  </si>
  <si>
    <t>Julius Wiemschulte</t>
  </si>
  <si>
    <t>Markt und Staat</t>
  </si>
  <si>
    <t>Konzerncontrolling</t>
  </si>
  <si>
    <t>02.02.-04.02.2024</t>
  </si>
  <si>
    <t>Christian Ritter</t>
  </si>
  <si>
    <t>Internes Rechnungswesen und funktionale Steuerung (Gruppe A)</t>
  </si>
  <si>
    <t>Winfried Schumacher</t>
  </si>
  <si>
    <t>Innovationscontrolling</t>
  </si>
  <si>
    <t>Externes Rechnungswesen (Gruppe A)</t>
  </si>
  <si>
    <t>05.02.-19.02.2024</t>
  </si>
  <si>
    <t>Christian Brockhaus</t>
  </si>
  <si>
    <t>Preisbildung auf unvollkommenden Märkten</t>
  </si>
  <si>
    <t>09.02.-11.02.2024</t>
  </si>
  <si>
    <t>Einführung in die Wirtschaftswissenschaft</t>
  </si>
  <si>
    <t>16.02.-18.02.2024</t>
  </si>
  <si>
    <t>Andreas Kalbow</t>
  </si>
  <si>
    <t>Externes Rechnungswesen (Gruppe B)</t>
  </si>
  <si>
    <t xml:space="preserve">Finanzwirtschaft </t>
  </si>
  <si>
    <t>16.02-18.02.2023</t>
  </si>
  <si>
    <t>Nicolai Davidsson</t>
  </si>
  <si>
    <t>Vertiefung der Mathematik</t>
  </si>
  <si>
    <t>Johannes Antweiler</t>
  </si>
  <si>
    <t>Makroökonomik</t>
  </si>
  <si>
    <t>Modellierung betrieblicher Informationssysteme</t>
  </si>
  <si>
    <t>17.02.-18.02.2024</t>
  </si>
  <si>
    <t>Internes Rechnungswesen und funktionale Steuerung (Gruppe B)</t>
  </si>
  <si>
    <t>21.02.-06.03.2024</t>
  </si>
  <si>
    <t>Investition und Finanzierung</t>
  </si>
  <si>
    <t>23.02.-25.02.2023</t>
  </si>
  <si>
    <t>Klausurvorbereitung: Grundlagen der Mathematik</t>
  </si>
  <si>
    <t>23.02-25.02.2024</t>
  </si>
  <si>
    <t>Mikro- und Makroökonomik (Makro-Teil)</t>
  </si>
  <si>
    <t>23.02.-25.02.2024</t>
  </si>
  <si>
    <t>Vertiefung der Statistik</t>
  </si>
  <si>
    <t>Dr. Herbert Wilms</t>
  </si>
  <si>
    <t>Mikroökonomik</t>
  </si>
  <si>
    <t>01.03.-03.03.2024</t>
  </si>
  <si>
    <t>Klausurvorbereitung: Grundlagen der Statistik</t>
  </si>
  <si>
    <t>Öffentliche Ausgaben</t>
  </si>
  <si>
    <t>Maßnahmenplan</t>
  </si>
  <si>
    <t>Maßnahme 1</t>
  </si>
  <si>
    <t>Maßnahme 2</t>
  </si>
  <si>
    <t>Rechtsangelegenheit</t>
  </si>
  <si>
    <t>Sitzungsplan</t>
  </si>
  <si>
    <t>Sitzung 1</t>
  </si>
  <si>
    <t>Sitzung 2</t>
  </si>
  <si>
    <t>Nachtrag SOLL und IST HHJ 23-24</t>
  </si>
  <si>
    <t>SOLL und IST HHJ 23-24</t>
  </si>
  <si>
    <t>SOLL und IST HHJ 22-23</t>
  </si>
  <si>
    <t>Datev SKR 42</t>
  </si>
  <si>
    <t>mit Zuwendungsbestätigung</t>
  </si>
  <si>
    <t>ohne Zuwendungsbestätigung</t>
  </si>
  <si>
    <t>weg</t>
  </si>
  <si>
    <t>6036 und 6171</t>
  </si>
  <si>
    <t>6650 und 6664</t>
  </si>
  <si>
    <t>6309 und 6650</t>
  </si>
  <si>
    <t>6640 und 6630 und 6631</t>
  </si>
  <si>
    <t>6644 und 6630 und 6631</t>
  </si>
  <si>
    <t>Kooperatives Semestermagazin</t>
  </si>
  <si>
    <t>Versandkosten Kooperatives Semestermagazin</t>
  </si>
  <si>
    <t>1 und 3</t>
  </si>
  <si>
    <t>Sachkonten Fibu</t>
  </si>
  <si>
    <t>5980 und 6300</t>
  </si>
  <si>
    <t>6301 und 6400</t>
  </si>
  <si>
    <t>Druckkosten Kooperatives Semestermagazin</t>
  </si>
  <si>
    <t>streichen</t>
  </si>
  <si>
    <t>136036; 136171</t>
  </si>
  <si>
    <t>Sphäre</t>
  </si>
  <si>
    <t>1: Stupa</t>
  </si>
  <si>
    <t>2: FeU-Gremien</t>
  </si>
  <si>
    <t>3: AStA</t>
  </si>
  <si>
    <t>156004, 166004, 176004…</t>
  </si>
  <si>
    <t>4: Personal</t>
  </si>
  <si>
    <t>5: Wiwi</t>
  </si>
  <si>
    <t>6: KSW</t>
  </si>
  <si>
    <t>7: PSY</t>
  </si>
  <si>
    <t>9: M+I</t>
  </si>
  <si>
    <t>8: REWI</t>
  </si>
  <si>
    <t>0: Wahlen</t>
  </si>
  <si>
    <t>1; 3; 5-9</t>
  </si>
  <si>
    <t>1; 3</t>
  </si>
  <si>
    <t>5; 6; …; 9</t>
  </si>
  <si>
    <t>1 oder 3</t>
  </si>
  <si>
    <t>Rechtsanwalts- u. Prozesskosten, Gebühren Stupa</t>
  </si>
  <si>
    <t>Rechtsanwalts- u. Prozesskosten, Gebühren AStA</t>
  </si>
  <si>
    <t>Bereich/OE</t>
  </si>
  <si>
    <t>Freie Eingabe HHHJ 23-242</t>
  </si>
  <si>
    <t>Rechnung HHJ 23-243</t>
  </si>
  <si>
    <t>Rechnung HHJ 24-25</t>
  </si>
  <si>
    <t>Freie Eingabe HHJ 24-25</t>
  </si>
  <si>
    <t>Haushalt der Fachschaft Wirtschaftswissenschaft</t>
  </si>
  <si>
    <t>Nachtrag HHJ 23-24</t>
  </si>
  <si>
    <t>Stand: 31.07.2024</t>
  </si>
  <si>
    <t>SOLL HHJ 24-25</t>
  </si>
  <si>
    <t>Referentenentwurf</t>
  </si>
  <si>
    <t>Stand: 30.09.2023</t>
  </si>
  <si>
    <t>Kein Nachtragshaushalt</t>
  </si>
  <si>
    <t>Basiskalkulationen: Anteilige Aufwandsentschädigungen Seminarkoordination: 1.200 € durch Anzahl der Seminare. Hier 50, ergibt gerundet 24 € AE pro Seminar.  Es werden den Dozierenden je nach Qualifikation Honorare zwischen 40 und 50 €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</si>
  <si>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Fachschaftsratsitzung: Präsenz: Ein Wochenende eintägige Sitzung, 8 TN, davon 3x 90 € AE (halbiert) und 5x 180 € AE (unhalbiert). 8 Anreisen, 12 Übernachtungen (BHS: 32 €/Nacht oder auswärts 80€/Nacht)</t>
  </si>
  <si>
    <t>Fachschaftsratsitzung 2x</t>
  </si>
  <si>
    <t>Frankfurt</t>
  </si>
  <si>
    <t>Hagen / Regionalzentrum</t>
  </si>
  <si>
    <t>Datum/Ort</t>
  </si>
  <si>
    <t>Haushalt der Fachschaft KSW</t>
  </si>
  <si>
    <t>Gehälter Beschäftigte brutto!)</t>
  </si>
  <si>
    <t>Steuern (entfällt)</t>
  </si>
  <si>
    <t>LAT NRW, fzs</t>
  </si>
  <si>
    <t>Druckkosten und Verwaltungskosten Seminare</t>
  </si>
  <si>
    <t>HHJ 24-25 - Leistungen Dritter</t>
  </si>
  <si>
    <t>HHJ 24-25 - IT-Dienstleistungen</t>
  </si>
  <si>
    <t>Mieten HHJ 24-25</t>
  </si>
  <si>
    <t>Lizenzen HHJ 24-25</t>
  </si>
  <si>
    <t>BHS</t>
  </si>
  <si>
    <t>BHS (Titel 560.40)</t>
  </si>
  <si>
    <t>Diverse Unterstützungleistungen Datev</t>
  </si>
  <si>
    <t>Datev</t>
  </si>
  <si>
    <t>Datev Grundlizenz und Nutzer (2)</t>
  </si>
  <si>
    <t>Datev: 171,35 € und 269 € (2024: Keine Grundlizenzgebühren</t>
  </si>
  <si>
    <t>IT-technische Ausstattung neue Fachschaftsbüros</t>
  </si>
  <si>
    <t>Ausstattung neue Fachschaftsbüros</t>
  </si>
  <si>
    <t>Ausstattung neue AStA-Büros</t>
  </si>
  <si>
    <t>Weitere nötige Beschaffungen</t>
  </si>
  <si>
    <t>Renovierungsmaßnahmen neue Fachschaftsbüros</t>
  </si>
  <si>
    <t>Renovierungsmaßnahmen nach Umzug</t>
  </si>
  <si>
    <t>Anschaffungsplan HHJ 24-25</t>
  </si>
  <si>
    <t>Notwendigkeit durch Umzug</t>
  </si>
  <si>
    <t>Stellenplan Personal ab 01.10.2024</t>
  </si>
  <si>
    <t>Vorgesehen ist eine neue Stelle im Bereich Sozial- und Studienberatung</t>
  </si>
  <si>
    <t>Jahreswert</t>
  </si>
  <si>
    <t>HHJ 24-25</t>
  </si>
  <si>
    <t>Gehälter Büro (ab 10/24: Brutto!)</t>
  </si>
  <si>
    <t>AStA-Referate HHJ 24-25</t>
  </si>
  <si>
    <t>Freie Eingabe Plan HHJ 23-24</t>
  </si>
  <si>
    <t>Untereinander deckungsfähig sind:</t>
  </si>
  <si>
    <t>1.) Im Plan 4 die Titel 412.00, 428,00 und 430.00 mit ihren jeweiligen Untertiteln.</t>
  </si>
  <si>
    <t>2.) Im Plan 5 sind diejenigen Titel, die nicht den Fachschaften zugewiesen sind.</t>
  </si>
  <si>
    <t>3.) Im Plan 6 alle Titel außer 690.00 (BHS-GmbH)</t>
  </si>
  <si>
    <t>Freie Eingabe Plan HHJ 24-25</t>
  </si>
  <si>
    <t>Erläuterungen für HHJ 2024/2025:</t>
  </si>
  <si>
    <t>Der Mittelbedarf sinkt um 3190€ (von 20740€ auf 17550€), was insbesondere dadurch begründet ist, dass durch die höheren Teilnahmegebühren für die Seminare die Teilnehmerzahlen gesunken sind. Wir arbeiten hier an einem Sponsorenmodell, welches für die Studierendenschaft dann aber effektiv kostenneutral sein sollte.</t>
  </si>
  <si>
    <t>Grundlage der Berechnung sind 0 Seminare in Präsenz. Online hat sich durchgesetzt.</t>
  </si>
  <si>
    <t>Grundlage der Berechnung sind 2 FSR-Sitzungen in Präsenz (konstituierende Sitzung nach dem 01.10. + eine weitere Sitzung zur Abstimmung), Rest online.</t>
  </si>
  <si>
    <t>Der FSR METI ist für die Organisation der nächsten Fachschaftsrätekonferenz zuständig; die Kosten laufen aber ja über andere Kostenstellen. Angedacht ist eine FSRK Anfang Januar 2025 in  Hagen</t>
  </si>
  <si>
    <t>Haushalt der Fachschaft Psychologie</t>
  </si>
  <si>
    <t>Haushalt der Fachschaft Rechtswissenschaft</t>
  </si>
  <si>
    <t>SV-Anteil AG</t>
  </si>
  <si>
    <t>BAV</t>
  </si>
  <si>
    <t>Gehalt brutto</t>
  </si>
  <si>
    <t>560.30:</t>
  </si>
  <si>
    <t>E9a Stufe 2 ?</t>
  </si>
  <si>
    <t xml:space="preserve">Ab November 2024 werden alle Tabellenentgelte um 200 Euro erhöht. </t>
  </si>
  <si>
    <t>Ab Februar 2025 werden alle Tabellenentgelte um weitere 5,5 Prozent erhöht.</t>
  </si>
  <si>
    <t>SV höher</t>
  </si>
  <si>
    <t>BAV entspr.</t>
  </si>
  <si>
    <t>Basiszahlen Juli 24</t>
  </si>
  <si>
    <t>1.11.</t>
  </si>
  <si>
    <t>1.2.</t>
  </si>
  <si>
    <t>8 Monate</t>
  </si>
  <si>
    <t>Brutto HHJ 24-25</t>
  </si>
  <si>
    <t>Vorläufiger Jahresüberschuss/Fehlbetrag</t>
  </si>
  <si>
    <t>AStA-Entwurf Nachtragshaushaltsplan 2024-2025 und Haushaltsplan 2024-2025</t>
  </si>
  <si>
    <t>Sonstige Rücklagen (Körperschaftsteuer)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</si>
</sst>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0.00\ &quot;€&quot;;[Red]\-#,##0.00\ &quot;€&quot;"/>
    <numFmt numFmtId="44" formatCode="_-* #,##0.00\ &quot;€&quot;_-;\-* #,##0.00\ &quot;€&quot;_-;_-* &quot;-&quot;??\ &quot;€&quot;_-;_-@_-"/>
    <numFmt numFmtId="164" formatCode="#,##0.00\ &quot;€&quot;"/>
    <numFmt numFmtId="165" formatCode="_-* #,##0.00&quot; €&quot;_-;\-* #,##0.00&quot; €&quot;_-;_-* \-??&quot; €&quot;_-;_-@_-"/>
    <numFmt numFmtId="166" formatCode="\ #,##0.00\ [$€-407]\ ;\-#,##0.00\ [$€-407]\ ;&quot; -&quot;00\ [$€-407]\ ;\ @\ "/>
    <numFmt numFmtId="167" formatCode="0\ %"/>
    <numFmt numFmtId="168" formatCode="0.00\ %"/>
    <numFmt numFmtId="169" formatCode="_-* #,##0.00\ [$€-407]_-;\-* #,##0.00\ [$€-407]_-;_-* \-??\ [$€-407]_-;_-@_-"/>
    <numFmt numFmtId="170" formatCode="#,##0.00\ _€"/>
    <numFmt numFmtId="171" formatCode="_-* #,##0.00\ [$€-407]_-;\-* #,##0.00\ [$€-407]_-;_-* &quot;-&quot;??\ [$€-407]_-;_-@_-"/>
    <numFmt numFmtId="172" formatCode="#,##0.00\ [$€-407];[Red]\-#,##0.00\ [$€-407]"/>
    <numFmt numFmtId="173" formatCode="[$-F800]dddd\,\ mmmm\ dd\,\ yyyy"/>
  </numFmts>
  <fonts count="88" x14ac:knownFonts="1">
    <font>
      <sz val="11"/>
      <color theme="1"/>
      <name val="Calibri"/>
      <family val="2"/>
      <scheme val="minor"/>
    </font>
    <font>
      <b/>
      <sz val="11"/>
      <color theme="1"/>
      <name val="Calibri"/>
      <family val="2"/>
      <scheme val="minor"/>
    </font>
    <font>
      <b/>
      <sz val="18"/>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sz val="11"/>
      <name val="Calibri"/>
      <family val="2"/>
    </font>
    <font>
      <sz val="12"/>
      <color theme="1"/>
      <name val="Calibri"/>
      <family val="2"/>
      <scheme val="minor"/>
    </font>
    <font>
      <u/>
      <sz val="11"/>
      <color theme="10"/>
      <name val="Calibri"/>
      <family val="2"/>
      <scheme val="minor"/>
    </font>
    <font>
      <b/>
      <sz val="10"/>
      <name val="Calibri"/>
      <family val="2"/>
    </font>
    <font>
      <sz val="12"/>
      <color indexed="8"/>
      <name val="Calibri"/>
      <family val="2"/>
    </font>
    <font>
      <sz val="10"/>
      <name val="Calibri"/>
      <family val="2"/>
    </font>
    <font>
      <sz val="11"/>
      <color rgb="FF000000"/>
      <name val="Calibri"/>
      <family val="2"/>
      <charset val="1"/>
    </font>
    <font>
      <sz val="11"/>
      <name val="Calibri"/>
      <family val="2"/>
      <scheme val="minor"/>
    </font>
    <font>
      <b/>
      <sz val="13"/>
      <name val="Arial"/>
      <family val="2"/>
    </font>
    <font>
      <sz val="10.5"/>
      <name val="Calibri"/>
      <family val="2"/>
    </font>
    <font>
      <b/>
      <sz val="12"/>
      <name val="Calibri"/>
      <family val="2"/>
    </font>
    <font>
      <b/>
      <sz val="9"/>
      <color indexed="81"/>
      <name val="Segoe UI"/>
      <family val="2"/>
    </font>
    <font>
      <b/>
      <u/>
      <sz val="11"/>
      <color theme="1"/>
      <name val="Calibri"/>
      <family val="2"/>
      <scheme val="minor"/>
    </font>
    <font>
      <sz val="11"/>
      <color indexed="8"/>
      <name val="Calibri"/>
      <family val="2"/>
    </font>
    <font>
      <b/>
      <sz val="12"/>
      <color indexed="8"/>
      <name val="Calibri"/>
      <family val="2"/>
    </font>
    <font>
      <b/>
      <sz val="11"/>
      <color indexed="8"/>
      <name val="Calibri"/>
      <family val="2"/>
    </font>
    <font>
      <b/>
      <sz val="10"/>
      <color theme="1"/>
      <name val="Calibri"/>
      <family val="2"/>
      <scheme val="minor"/>
    </font>
    <font>
      <sz val="10"/>
      <color theme="1"/>
      <name val="Calibri"/>
      <family val="2"/>
      <scheme val="minor"/>
    </font>
    <font>
      <b/>
      <u/>
      <sz val="10"/>
      <color theme="1"/>
      <name val="Calibri"/>
      <family val="2"/>
      <scheme val="minor"/>
    </font>
    <font>
      <b/>
      <vertAlign val="subscript"/>
      <sz val="8"/>
      <color theme="0"/>
      <name val="Calibri"/>
      <family val="2"/>
      <scheme val="minor"/>
    </font>
    <font>
      <vertAlign val="subscript"/>
      <sz val="8"/>
      <color theme="0"/>
      <name val="Calibri"/>
      <family val="2"/>
      <scheme val="minor"/>
    </font>
    <font>
      <u/>
      <sz val="11"/>
      <color theme="4"/>
      <name val="Calibri"/>
      <family val="2"/>
      <scheme val="minor"/>
    </font>
    <font>
      <b/>
      <sz val="11"/>
      <name val="Calibri"/>
      <family val="2"/>
    </font>
    <font>
      <b/>
      <sz val="11"/>
      <color theme="1"/>
      <name val="Calibri"/>
      <family val="2"/>
    </font>
    <font>
      <b/>
      <sz val="11"/>
      <color theme="4"/>
      <name val="Calibri"/>
      <family val="2"/>
    </font>
    <font>
      <sz val="11"/>
      <color theme="4"/>
      <name val="Calibri"/>
      <family val="2"/>
    </font>
    <font>
      <sz val="11"/>
      <color theme="1"/>
      <name val="Calibri"/>
      <family val="2"/>
      <scheme val="minor"/>
    </font>
    <font>
      <u/>
      <sz val="11"/>
      <name val="Calibri"/>
      <family val="2"/>
    </font>
    <font>
      <sz val="10"/>
      <color indexed="9"/>
      <name val="Calibri"/>
      <family val="2"/>
    </font>
    <font>
      <sz val="11"/>
      <color theme="1"/>
      <name val="Calibri"/>
      <family val="2"/>
    </font>
    <font>
      <b/>
      <sz val="11"/>
      <color theme="0"/>
      <name val="Calibri"/>
      <family val="2"/>
      <scheme val="minor"/>
    </font>
    <font>
      <sz val="11"/>
      <color theme="0"/>
      <name val="Calibri"/>
      <family val="2"/>
      <scheme val="minor"/>
    </font>
    <font>
      <b/>
      <sz val="9"/>
      <color theme="4" tint="-0.249977111117893"/>
      <name val="Calibri"/>
      <family val="2"/>
      <scheme val="minor"/>
    </font>
    <font>
      <b/>
      <sz val="9"/>
      <color theme="1"/>
      <name val="Calibri"/>
      <family val="2"/>
      <scheme val="minor"/>
    </font>
    <font>
      <b/>
      <sz val="9"/>
      <name val="Calibri"/>
      <family val="2"/>
      <scheme val="minor"/>
    </font>
    <font>
      <b/>
      <sz val="8"/>
      <color theme="4" tint="-0.249977111117893"/>
      <name val="Calibri"/>
      <family val="2"/>
      <scheme val="minor"/>
    </font>
    <font>
      <b/>
      <sz val="11"/>
      <name val="Calibri"/>
      <family val="2"/>
      <scheme val="minor"/>
    </font>
    <font>
      <b/>
      <sz val="11"/>
      <color theme="4" tint="-0.249977111117893"/>
      <name val="Calibri"/>
      <family val="2"/>
      <scheme val="minor"/>
    </font>
    <font>
      <b/>
      <sz val="10"/>
      <color theme="4" tint="-0.249977111117893"/>
      <name val="Calibri"/>
      <family val="2"/>
      <scheme val="minor"/>
    </font>
    <font>
      <sz val="10"/>
      <name val="Calibri"/>
      <family val="2"/>
      <scheme val="minor"/>
    </font>
    <font>
      <sz val="9"/>
      <name val="Calibri"/>
      <family val="2"/>
      <scheme val="minor"/>
    </font>
    <font>
      <b/>
      <sz val="11"/>
      <color rgb="FFFF0000"/>
      <name val="Calibri"/>
      <family val="2"/>
      <scheme val="minor"/>
    </font>
    <font>
      <sz val="11"/>
      <color indexed="8"/>
      <name val="Calibri"/>
      <family val="2"/>
      <charset val="1"/>
    </font>
    <font>
      <sz val="10"/>
      <name val="Arial"/>
      <family val="2"/>
      <charset val="1"/>
    </font>
    <font>
      <sz val="10"/>
      <color indexed="8"/>
      <name val="Arial"/>
      <family val="2"/>
      <charset val="1"/>
    </font>
    <font>
      <b/>
      <sz val="11"/>
      <color rgb="FFFFFF00"/>
      <name val="Calibri"/>
      <family val="2"/>
      <scheme val="minor"/>
    </font>
    <font>
      <sz val="11"/>
      <name val="Calibri"/>
      <family val="2"/>
      <charset val="1"/>
    </font>
    <font>
      <sz val="9"/>
      <color theme="1"/>
      <name val="Calibri"/>
      <family val="2"/>
      <scheme val="minor"/>
    </font>
    <font>
      <b/>
      <u/>
      <sz val="10"/>
      <color indexed="8"/>
      <name val="Calibri"/>
      <family val="2"/>
      <scheme val="minor"/>
    </font>
    <font>
      <sz val="10"/>
      <color indexed="8"/>
      <name val="Calibri"/>
      <family val="2"/>
      <scheme val="minor"/>
    </font>
    <font>
      <sz val="10"/>
      <color rgb="FF0070C0"/>
      <name val="Calibri"/>
      <family val="2"/>
      <scheme val="minor"/>
    </font>
    <font>
      <b/>
      <sz val="11"/>
      <color rgb="FF0070C0"/>
      <name val="Calibri"/>
      <family val="2"/>
      <scheme val="minor"/>
    </font>
    <font>
      <b/>
      <sz val="10"/>
      <name val="Calibri"/>
      <family val="2"/>
      <scheme val="minor"/>
    </font>
    <font>
      <sz val="11"/>
      <color rgb="FF0070C0"/>
      <name val="Calibri"/>
      <family val="2"/>
      <scheme val="minor"/>
    </font>
    <font>
      <sz val="10"/>
      <color indexed="8"/>
      <name val="Arial"/>
      <family val="2"/>
    </font>
    <font>
      <b/>
      <sz val="10"/>
      <color rgb="FFFF0000"/>
      <name val="Calibri"/>
      <family val="2"/>
      <scheme val="minor"/>
    </font>
    <font>
      <b/>
      <u/>
      <sz val="11"/>
      <color rgb="FF0070C0"/>
      <name val="Calibri"/>
      <family val="2"/>
      <scheme val="minor"/>
    </font>
    <font>
      <b/>
      <u/>
      <sz val="11"/>
      <color theme="4" tint="-0.249977111117893"/>
      <name val="Calibri"/>
      <family val="2"/>
      <scheme val="minor"/>
    </font>
    <font>
      <sz val="11"/>
      <color rgb="FF002060"/>
      <name val="Calibri"/>
      <family val="2"/>
      <scheme val="minor"/>
    </font>
    <font>
      <sz val="8"/>
      <color theme="1"/>
      <name val="Calibri"/>
      <family val="2"/>
      <scheme val="minor"/>
    </font>
    <font>
      <b/>
      <sz val="8"/>
      <color theme="1"/>
      <name val="Calibri"/>
      <family val="2"/>
      <scheme val="minor"/>
    </font>
    <font>
      <b/>
      <sz val="10"/>
      <name val="Arial"/>
      <family val="2"/>
    </font>
    <font>
      <sz val="10"/>
      <color rgb="FFFF0000"/>
      <name val="Arial"/>
      <family val="2"/>
    </font>
    <font>
      <sz val="10"/>
      <name val="Arial"/>
      <family val="2"/>
    </font>
    <font>
      <sz val="8"/>
      <name val="Arial"/>
      <family val="2"/>
    </font>
    <font>
      <sz val="11"/>
      <color rgb="FF000000"/>
      <name val="Calibri"/>
      <family val="2"/>
      <scheme val="minor"/>
    </font>
    <font>
      <b/>
      <sz val="9"/>
      <color theme="0"/>
      <name val="Calibri"/>
      <family val="2"/>
      <scheme val="minor"/>
    </font>
    <font>
      <sz val="11"/>
      <color rgb="FF00B050"/>
      <name val="Calibri"/>
      <family val="2"/>
      <scheme val="minor"/>
    </font>
    <font>
      <b/>
      <sz val="9"/>
      <color rgb="FFFF0000"/>
      <name val="Calibri"/>
      <family val="2"/>
      <scheme val="minor"/>
    </font>
    <font>
      <b/>
      <sz val="8"/>
      <name val="Calibri"/>
      <family val="2"/>
      <scheme val="minor"/>
    </font>
    <font>
      <b/>
      <sz val="8"/>
      <color rgb="FFFF0000"/>
      <name val="Calibri"/>
      <family val="2"/>
      <scheme val="minor"/>
    </font>
    <font>
      <b/>
      <sz val="7"/>
      <color rgb="FFFF0000"/>
      <name val="Calibri"/>
      <family val="2"/>
      <scheme val="minor"/>
    </font>
    <font>
      <sz val="11"/>
      <color indexed="8"/>
      <name val="Calibri"/>
      <family val="2"/>
      <scheme val="minor"/>
    </font>
    <font>
      <sz val="8"/>
      <name val="Calibri"/>
      <family val="2"/>
      <scheme val="minor"/>
    </font>
    <font>
      <sz val="11"/>
      <color rgb="FFFF0000"/>
      <name val="Calibri"/>
      <family val="2"/>
      <scheme val="minor"/>
    </font>
    <font>
      <b/>
      <sz val="11"/>
      <color rgb="FF000000"/>
      <name val="Calibri"/>
      <family val="2"/>
      <scheme val="minor"/>
    </font>
    <font>
      <sz val="11"/>
      <color rgb="FF242424"/>
      <name val="Segoe UI"/>
      <family val="2"/>
    </font>
    <font>
      <sz val="10"/>
      <color rgb="FF000000"/>
      <name val="Calibri"/>
      <family val="2"/>
      <scheme val="minor"/>
    </font>
    <font>
      <b/>
      <sz val="12"/>
      <color rgb="FFFF0000"/>
      <name val="Calibri"/>
      <family val="2"/>
      <scheme val="minor"/>
    </font>
    <font>
      <b/>
      <sz val="9"/>
      <color rgb="FF000000"/>
      <name val="Segoe UI"/>
      <family val="2"/>
      <charset val="1"/>
    </font>
    <font>
      <b/>
      <sz val="14"/>
      <name val="Calibri"/>
      <family val="2"/>
    </font>
    <font>
      <sz val="9"/>
      <color rgb="FF242424"/>
      <name val="Verdana"/>
      <family val="2"/>
    </font>
  </fonts>
  <fills count="29">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7C80"/>
        <bgColor indexed="64"/>
      </patternFill>
    </fill>
    <fill>
      <patternFill patternType="solid">
        <fgColor rgb="FFFFCCCC"/>
        <bgColor indexed="64"/>
      </patternFill>
    </fill>
    <fill>
      <patternFill patternType="solid">
        <fgColor indexed="31"/>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F2CC"/>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F2CC"/>
        <bgColor rgb="FFFFF2CC"/>
      </patternFill>
    </fill>
    <fill>
      <patternFill patternType="solid">
        <fgColor rgb="FFE2EFDA"/>
        <bgColor rgb="FFE2EFDA"/>
      </patternFill>
    </fill>
    <fill>
      <patternFill patternType="solid">
        <fgColor theme="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D9D9D9"/>
        <bgColor rgb="FFD9D9D9"/>
      </patternFill>
    </fill>
    <fill>
      <patternFill patternType="solid">
        <fgColor rgb="FFF4B084"/>
        <bgColor rgb="FF000000"/>
      </patternFill>
    </fill>
  </fills>
  <borders count="211">
    <border>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8"/>
      </left>
      <right style="thin">
        <color indexed="8"/>
      </right>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top style="thin">
        <color theme="8"/>
      </top>
      <bottom/>
      <diagonal/>
    </border>
    <border>
      <left style="thin">
        <color indexed="64"/>
      </left>
      <right style="thin">
        <color indexed="64"/>
      </right>
      <top style="thin">
        <color theme="8"/>
      </top>
      <bottom/>
      <diagonal/>
    </border>
    <border>
      <left style="thin">
        <color theme="9"/>
      </left>
      <right/>
      <top style="thin">
        <color theme="9"/>
      </top>
      <bottom/>
      <diagonal/>
    </border>
    <border>
      <left/>
      <right/>
      <top style="thin">
        <color theme="9"/>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thin">
        <color theme="9"/>
      </left>
      <right style="thin">
        <color theme="9"/>
      </right>
      <top style="thin">
        <color theme="9"/>
      </top>
      <bottom/>
      <diagonal/>
    </border>
    <border>
      <left style="thin">
        <color indexed="64"/>
      </left>
      <right style="thin">
        <color auto="1"/>
      </right>
      <top style="thin">
        <color auto="1"/>
      </top>
      <bottom/>
      <diagonal/>
    </border>
    <border>
      <left style="thin">
        <color indexed="64"/>
      </left>
      <right style="thin">
        <color indexed="64"/>
      </right>
      <top style="thin">
        <color indexed="64"/>
      </top>
      <bottom style="thin">
        <color auto="1"/>
      </bottom>
      <diagonal/>
    </border>
    <border>
      <left/>
      <right/>
      <top style="medium">
        <color auto="1"/>
      </top>
      <bottom/>
      <diagonal/>
    </border>
    <border>
      <left/>
      <right style="medium">
        <color auto="1"/>
      </right>
      <top style="medium">
        <color auto="1"/>
      </top>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64"/>
      </right>
      <top style="thin">
        <color indexed="8"/>
      </top>
      <bottom style="medium">
        <color indexed="8"/>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right style="medium">
        <color indexed="64"/>
      </right>
      <top style="medium">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right style="thin">
        <color indexed="64"/>
      </right>
      <top style="medium">
        <color indexed="64"/>
      </top>
      <bottom style="medium">
        <color indexed="64"/>
      </bottom>
      <diagonal/>
    </border>
    <border>
      <left style="medium">
        <color indexed="64"/>
      </left>
      <right style="medium">
        <color indexed="64"/>
      </right>
      <top style="thin">
        <color auto="1"/>
      </top>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medium">
        <color auto="1"/>
      </left>
      <right/>
      <top style="medium">
        <color auto="1"/>
      </top>
      <bottom/>
      <diagonal/>
    </border>
    <border>
      <left style="medium">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auto="1"/>
      </bottom>
      <diagonal/>
    </border>
    <border>
      <left/>
      <right/>
      <top style="thin">
        <color theme="6"/>
      </top>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medium">
        <color indexed="64"/>
      </left>
      <right style="thin">
        <color indexed="8"/>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medium">
        <color indexed="64"/>
      </left>
      <right style="thin">
        <color indexed="8"/>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auto="1"/>
      </bottom>
      <diagonal/>
    </border>
    <border>
      <left style="thin">
        <color indexed="64"/>
      </left>
      <right style="medium">
        <color indexed="64"/>
      </right>
      <top style="thin">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thin">
        <color rgb="FFFFC000"/>
      </right>
      <top style="thin">
        <color rgb="FFFFC000"/>
      </top>
      <bottom style="thin">
        <color rgb="FFFFC000"/>
      </bottom>
      <diagonal/>
    </border>
    <border>
      <left/>
      <right style="thin">
        <color rgb="FFFFC000"/>
      </right>
      <top style="thin">
        <color rgb="FFFFC000"/>
      </top>
      <bottom/>
      <diagonal/>
    </border>
    <border>
      <left style="thin">
        <color rgb="FFFFC000"/>
      </left>
      <right style="thin">
        <color rgb="FFFFC000"/>
      </right>
      <top style="thin">
        <color rgb="FFFFC000"/>
      </top>
      <bottom/>
      <diagonal/>
    </border>
    <border>
      <left style="thin">
        <color auto="1"/>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auto="1"/>
      </top>
      <bottom style="thin">
        <color auto="1"/>
      </bottom>
      <diagonal/>
    </border>
    <border>
      <left style="thin">
        <color indexed="64"/>
      </left>
      <right style="medium">
        <color indexed="64"/>
      </right>
      <top style="thin">
        <color indexed="64"/>
      </top>
      <bottom style="thin">
        <color auto="1"/>
      </bottom>
      <diagonal/>
    </border>
    <border>
      <left style="thin">
        <color indexed="64"/>
      </left>
      <right style="medium">
        <color indexed="64"/>
      </right>
      <top style="thin">
        <color auto="1"/>
      </top>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style="medium">
        <color auto="1"/>
      </right>
      <top/>
      <bottom style="medium">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theme="6"/>
      </right>
      <top style="thin">
        <color theme="6"/>
      </top>
      <bottom/>
      <diagonal/>
    </border>
    <border>
      <left/>
      <right/>
      <top style="thin">
        <color theme="6"/>
      </top>
      <bottom style="thin">
        <color theme="6"/>
      </bottom>
      <diagonal/>
    </border>
    <border>
      <left/>
      <right style="medium">
        <color indexed="64"/>
      </right>
      <top style="medium">
        <color indexed="64"/>
      </top>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auto="1"/>
      </bottom>
      <diagonal/>
    </border>
    <border>
      <left style="thick">
        <color auto="1"/>
      </left>
      <right/>
      <top/>
      <bottom/>
      <diagonal/>
    </border>
    <border>
      <left style="medium">
        <color indexed="64"/>
      </left>
      <right/>
      <top/>
      <bottom style="thin">
        <color auto="1"/>
      </bottom>
      <diagonal/>
    </border>
    <border>
      <left style="thick">
        <color auto="1"/>
      </left>
      <right style="medium">
        <color indexed="64"/>
      </right>
      <top/>
      <bottom/>
      <diagonal/>
    </border>
    <border>
      <left style="thick">
        <color auto="1"/>
      </left>
      <right style="thin">
        <color auto="1"/>
      </right>
      <top style="thin">
        <color auto="1"/>
      </top>
      <bottom/>
      <diagonal/>
    </border>
    <border>
      <left style="thick">
        <color auto="1"/>
      </left>
      <right style="thin">
        <color auto="1"/>
      </right>
      <top/>
      <bottom/>
      <diagonal/>
    </border>
    <border>
      <left style="thick">
        <color auto="1"/>
      </left>
      <right style="thin">
        <color indexed="64"/>
      </right>
      <top style="medium">
        <color indexed="64"/>
      </top>
      <bottom style="medium">
        <color indexed="64"/>
      </bottom>
      <diagonal/>
    </border>
    <border>
      <left style="thick">
        <color auto="1"/>
      </left>
      <right style="thin">
        <color indexed="64"/>
      </right>
      <top/>
      <bottom style="medium">
        <color indexed="64"/>
      </bottom>
      <diagonal/>
    </border>
    <border>
      <left style="thick">
        <color auto="1"/>
      </left>
      <right style="medium">
        <color indexed="64"/>
      </right>
      <top/>
      <bottom style="thin">
        <color indexed="64"/>
      </bottom>
      <diagonal/>
    </border>
    <border>
      <left style="thin">
        <color indexed="64"/>
      </left>
      <right/>
      <top style="medium">
        <color indexed="64"/>
      </top>
      <bottom/>
      <diagonal/>
    </border>
    <border>
      <left style="thick">
        <color auto="1"/>
      </left>
      <right style="medium">
        <color indexed="64"/>
      </right>
      <top style="medium">
        <color indexed="64"/>
      </top>
      <bottom style="medium">
        <color indexed="64"/>
      </bottom>
      <diagonal/>
    </border>
    <border>
      <left style="thick">
        <color auto="1"/>
      </left>
      <right/>
      <top style="medium">
        <color indexed="64"/>
      </top>
      <bottom style="medium">
        <color indexed="64"/>
      </bottom>
      <diagonal/>
    </border>
    <border>
      <left style="thick">
        <color auto="1"/>
      </left>
      <right style="thin">
        <color indexed="64"/>
      </right>
      <top style="medium">
        <color indexed="64"/>
      </top>
      <bottom/>
      <diagonal/>
    </border>
    <border>
      <left style="thick">
        <color auto="1"/>
      </left>
      <right style="medium">
        <color auto="1"/>
      </right>
      <top/>
      <bottom style="medium">
        <color auto="1"/>
      </bottom>
      <diagonal/>
    </border>
    <border>
      <left style="thin">
        <color indexed="64"/>
      </left>
      <right/>
      <top style="thin">
        <color auto="1"/>
      </top>
      <bottom style="thin">
        <color auto="1"/>
      </bottom>
      <diagonal/>
    </border>
    <border>
      <left style="thin">
        <color theme="6"/>
      </left>
      <right/>
      <top style="thin">
        <color theme="6"/>
      </top>
      <bottom/>
      <diagonal/>
    </border>
  </borders>
  <cellStyleXfs count="12">
    <xf numFmtId="0" fontId="0" fillId="0" borderId="0"/>
    <xf numFmtId="0" fontId="8" fillId="0" borderId="0" applyNumberFormat="0" applyFill="0" applyBorder="0" applyAlignment="0" applyProtection="0"/>
    <xf numFmtId="0" fontId="10" fillId="8" borderId="0" applyNumberFormat="0" applyBorder="0" applyAlignment="0" applyProtection="0"/>
    <xf numFmtId="0" fontId="12" fillId="0" borderId="0"/>
    <xf numFmtId="165" fontId="12" fillId="0" borderId="0" applyBorder="0" applyProtection="0"/>
    <xf numFmtId="167" fontId="12" fillId="0" borderId="0" applyBorder="0" applyProtection="0"/>
    <xf numFmtId="0" fontId="19" fillId="0" borderId="0" applyBorder="0" applyProtection="0"/>
    <xf numFmtId="44" fontId="32" fillId="0" borderId="0" applyFont="0" applyFill="0" applyBorder="0" applyAlignment="0" applyProtection="0"/>
    <xf numFmtId="0" fontId="19" fillId="0" borderId="0" applyBorder="0" applyProtection="0"/>
    <xf numFmtId="0" fontId="48" fillId="0" borderId="0"/>
    <xf numFmtId="0" fontId="19" fillId="0" borderId="0"/>
    <xf numFmtId="44" fontId="32" fillId="0" borderId="0" applyFont="0" applyFill="0" applyBorder="0" applyAlignment="0" applyProtection="0"/>
  </cellStyleXfs>
  <cellXfs count="1356">
    <xf numFmtId="0" fontId="0" fillId="0" borderId="0" xfId="0"/>
    <xf numFmtId="0" fontId="2" fillId="0" borderId="0" xfId="0" applyFont="1"/>
    <xf numFmtId="0" fontId="1" fillId="2" borderId="0" xfId="0" applyFont="1" applyFill="1"/>
    <xf numFmtId="0" fontId="0" fillId="3" borderId="0" xfId="0" applyFill="1"/>
    <xf numFmtId="0" fontId="0" fillId="4" borderId="0" xfId="0" applyFill="1"/>
    <xf numFmtId="0" fontId="3" fillId="0" borderId="0" xfId="0" applyFont="1"/>
    <xf numFmtId="0" fontId="1" fillId="0" borderId="0" xfId="0" applyFont="1"/>
    <xf numFmtId="0" fontId="4" fillId="0" borderId="0" xfId="0" applyFont="1"/>
    <xf numFmtId="0" fontId="1" fillId="5" borderId="0" xfId="0" applyFont="1" applyFill="1"/>
    <xf numFmtId="0" fontId="0" fillId="6" borderId="0" xfId="0" applyFill="1"/>
    <xf numFmtId="0" fontId="0" fillId="7" borderId="0" xfId="0" applyFill="1"/>
    <xf numFmtId="0" fontId="5" fillId="0" borderId="0" xfId="0" applyFont="1"/>
    <xf numFmtId="0" fontId="8" fillId="3" borderId="0" xfId="1" applyFill="1"/>
    <xf numFmtId="0" fontId="8" fillId="7" borderId="0" xfId="1" applyFill="1"/>
    <xf numFmtId="164" fontId="0" fillId="0" borderId="0" xfId="0" applyNumberFormat="1"/>
    <xf numFmtId="164" fontId="3" fillId="0" borderId="0" xfId="0" applyNumberFormat="1" applyFont="1"/>
    <xf numFmtId="164" fontId="1" fillId="0" borderId="0" xfId="0" applyNumberFormat="1" applyFont="1"/>
    <xf numFmtId="164" fontId="0" fillId="4" borderId="0" xfId="0" applyNumberFormat="1" applyFill="1"/>
    <xf numFmtId="164" fontId="0" fillId="3" borderId="0" xfId="0" applyNumberFormat="1" applyFill="1"/>
    <xf numFmtId="164" fontId="1" fillId="5" borderId="0" xfId="0" applyNumberFormat="1" applyFont="1" applyFill="1"/>
    <xf numFmtId="164" fontId="0" fillId="6" borderId="0" xfId="0" applyNumberFormat="1" applyFill="1"/>
    <xf numFmtId="164" fontId="0" fillId="7" borderId="0" xfId="0" applyNumberFormat="1" applyFill="1"/>
    <xf numFmtId="0" fontId="4" fillId="0" borderId="0" xfId="0" applyFont="1" applyAlignment="1">
      <alignment vertical="center"/>
    </xf>
    <xf numFmtId="164" fontId="1" fillId="2" borderId="0" xfId="0" applyNumberFormat="1" applyFont="1" applyFill="1"/>
    <xf numFmtId="0" fontId="12" fillId="0" borderId="0" xfId="3"/>
    <xf numFmtId="0" fontId="12" fillId="0" borderId="0" xfId="3" applyAlignment="1">
      <alignment wrapText="1"/>
    </xf>
    <xf numFmtId="165" fontId="12" fillId="0" borderId="0" xfId="4" applyBorder="1" applyProtection="1"/>
    <xf numFmtId="166" fontId="12" fillId="0" borderId="0" xfId="3" applyNumberFormat="1"/>
    <xf numFmtId="165" fontId="12" fillId="0" borderId="0" xfId="3" applyNumberFormat="1"/>
    <xf numFmtId="2" fontId="12" fillId="0" borderId="0" xfId="4" applyNumberFormat="1" applyBorder="1" applyProtection="1"/>
    <xf numFmtId="168" fontId="12" fillId="0" borderId="0" xfId="5" applyNumberFormat="1" applyBorder="1" applyProtection="1"/>
    <xf numFmtId="169" fontId="12" fillId="0" borderId="0" xfId="3" applyNumberFormat="1"/>
    <xf numFmtId="0" fontId="13" fillId="0" borderId="0" xfId="0" applyFont="1"/>
    <xf numFmtId="164" fontId="13" fillId="0" borderId="0" xfId="0" applyNumberFormat="1" applyFont="1"/>
    <xf numFmtId="0" fontId="0" fillId="0" borderId="14" xfId="0" applyBorder="1" applyAlignment="1">
      <alignment wrapText="1"/>
    </xf>
    <xf numFmtId="164" fontId="0" fillId="7" borderId="15" xfId="0" applyNumberFormat="1" applyFill="1" applyBorder="1"/>
    <xf numFmtId="164" fontId="0" fillId="3" borderId="15" xfId="0" applyNumberFormat="1" applyFill="1" applyBorder="1"/>
    <xf numFmtId="0" fontId="0" fillId="0" borderId="13" xfId="0" applyBorder="1" applyAlignment="1">
      <alignment horizontal="center" wrapText="1"/>
    </xf>
    <xf numFmtId="0" fontId="14" fillId="0" borderId="0" xfId="0" applyFont="1" applyAlignment="1">
      <alignment vertical="center"/>
    </xf>
    <xf numFmtId="0" fontId="0" fillId="0" borderId="0" xfId="0" applyAlignment="1">
      <alignment vertical="center"/>
    </xf>
    <xf numFmtId="0" fontId="11" fillId="0" borderId="17" xfId="0" applyFont="1" applyBorder="1" applyAlignment="1">
      <alignment horizontal="center" vertical="center"/>
    </xf>
    <xf numFmtId="164" fontId="12" fillId="0" borderId="19" xfId="5" applyNumberFormat="1" applyBorder="1" applyProtection="1">
      <protection locked="0"/>
    </xf>
    <xf numFmtId="164" fontId="0" fillId="0" borderId="19" xfId="0" applyNumberFormat="1" applyBorder="1" applyProtection="1">
      <protection locked="0"/>
    </xf>
    <xf numFmtId="164" fontId="0" fillId="0" borderId="12" xfId="0" applyNumberFormat="1" applyBorder="1" applyProtection="1">
      <protection locked="0"/>
    </xf>
    <xf numFmtId="0" fontId="0" fillId="0" borderId="18" xfId="0" applyBorder="1"/>
    <xf numFmtId="0" fontId="1" fillId="0" borderId="0" xfId="0" applyFont="1" applyAlignment="1">
      <alignment wrapText="1"/>
    </xf>
    <xf numFmtId="0" fontId="0" fillId="0" borderId="3" xfId="0" applyBorder="1"/>
    <xf numFmtId="0" fontId="0" fillId="0" borderId="23" xfId="0" applyBorder="1"/>
    <xf numFmtId="0" fontId="0" fillId="0" borderId="6" xfId="0" applyBorder="1"/>
    <xf numFmtId="0" fontId="0" fillId="0" borderId="15" xfId="0" applyBorder="1" applyAlignment="1">
      <alignment wrapText="1"/>
    </xf>
    <xf numFmtId="0" fontId="0" fillId="0" borderId="15" xfId="0" applyBorder="1" applyAlignment="1">
      <alignment horizontal="center" wrapText="1"/>
    </xf>
    <xf numFmtId="0" fontId="0" fillId="0" borderId="5" xfId="0" applyBorder="1" applyAlignment="1">
      <alignment wrapText="1"/>
    </xf>
    <xf numFmtId="0" fontId="0" fillId="0" borderId="24" xfId="0" applyBorder="1" applyAlignment="1">
      <alignment wrapText="1"/>
    </xf>
    <xf numFmtId="164" fontId="0" fillId="7" borderId="10" xfId="0" applyNumberFormat="1" applyFill="1" applyBorder="1"/>
    <xf numFmtId="164" fontId="0" fillId="7" borderId="11" xfId="0" applyNumberFormat="1" applyFill="1" applyBorder="1"/>
    <xf numFmtId="164" fontId="0" fillId="3" borderId="11" xfId="0" applyNumberFormat="1" applyFill="1" applyBorder="1"/>
    <xf numFmtId="164" fontId="0" fillId="3" borderId="12" xfId="0" applyNumberFormat="1" applyFill="1" applyBorder="1"/>
    <xf numFmtId="164" fontId="0" fillId="0" borderId="15" xfId="0" applyNumberFormat="1" applyBorder="1"/>
    <xf numFmtId="164" fontId="1" fillId="0" borderId="16" xfId="0" applyNumberFormat="1" applyFont="1" applyBorder="1"/>
    <xf numFmtId="164" fontId="4" fillId="7" borderId="11" xfId="0" applyNumberFormat="1" applyFont="1" applyFill="1" applyBorder="1"/>
    <xf numFmtId="164" fontId="4" fillId="3" borderId="12" xfId="0" applyNumberFormat="1" applyFont="1" applyFill="1" applyBorder="1"/>
    <xf numFmtId="0" fontId="5" fillId="0" borderId="0" xfId="0" applyFont="1" applyAlignment="1">
      <alignment vertical="top"/>
    </xf>
    <xf numFmtId="0" fontId="5" fillId="0" borderId="0" xfId="0" applyFont="1" applyAlignment="1">
      <alignment vertical="top" wrapText="1"/>
    </xf>
    <xf numFmtId="0" fontId="0" fillId="0" borderId="23" xfId="0" applyBorder="1" applyAlignment="1">
      <alignment horizontal="center" wrapText="1"/>
    </xf>
    <xf numFmtId="0" fontId="0" fillId="0" borderId="4" xfId="0" applyBorder="1" applyAlignment="1">
      <alignment wrapText="1"/>
    </xf>
    <xf numFmtId="0" fontId="0" fillId="0" borderId="23" xfId="0" applyBorder="1" applyAlignment="1">
      <alignment wrapText="1"/>
    </xf>
    <xf numFmtId="164" fontId="0" fillId="7" borderId="11" xfId="0" applyNumberFormat="1" applyFill="1" applyBorder="1" applyAlignment="1">
      <alignment wrapText="1"/>
    </xf>
    <xf numFmtId="0" fontId="0" fillId="0" borderId="3" xfId="0" applyBorder="1" applyAlignment="1">
      <alignment horizontal="center" wrapText="1"/>
    </xf>
    <xf numFmtId="0" fontId="0" fillId="0" borderId="3" xfId="0" applyBorder="1" applyAlignment="1">
      <alignment wrapText="1"/>
    </xf>
    <xf numFmtId="164" fontId="8" fillId="0" borderId="6" xfId="0" applyNumberFormat="1" applyFont="1" applyBorder="1" applyAlignment="1">
      <alignment wrapText="1"/>
    </xf>
    <xf numFmtId="0" fontId="0" fillId="0" borderId="31" xfId="0" applyBorder="1" applyAlignment="1">
      <alignment wrapText="1"/>
    </xf>
    <xf numFmtId="0" fontId="1" fillId="0" borderId="32" xfId="0" applyFont="1" applyBorder="1" applyAlignment="1">
      <alignment wrapText="1"/>
    </xf>
    <xf numFmtId="0" fontId="8" fillId="0" borderId="28" xfId="1" applyBorder="1" applyAlignment="1">
      <alignment horizontal="center" wrapText="1"/>
    </xf>
    <xf numFmtId="0" fontId="8" fillId="0" borderId="28" xfId="1" applyBorder="1" applyAlignment="1">
      <alignment wrapText="1"/>
    </xf>
    <xf numFmtId="0" fontId="0" fillId="0" borderId="20" xfId="0" applyBorder="1" applyAlignment="1">
      <alignment wrapText="1"/>
    </xf>
    <xf numFmtId="0" fontId="7" fillId="0" borderId="0" xfId="0" applyFont="1"/>
    <xf numFmtId="0" fontId="11" fillId="0" borderId="0" xfId="0" applyFont="1" applyAlignment="1">
      <alignment horizontal="left" vertical="top"/>
    </xf>
    <xf numFmtId="0" fontId="11"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16" fillId="0" borderId="0" xfId="0" applyFont="1" applyAlignment="1">
      <alignment horizontal="right" vertical="top"/>
    </xf>
    <xf numFmtId="0" fontId="6" fillId="0" borderId="0" xfId="0" applyFont="1" applyAlignment="1">
      <alignment horizontal="left" vertical="top"/>
    </xf>
    <xf numFmtId="0" fontId="0" fillId="0" borderId="0" xfId="0" applyProtection="1">
      <protection locked="0"/>
    </xf>
    <xf numFmtId="0" fontId="0" fillId="9" borderId="0" xfId="0" applyFill="1" applyProtection="1">
      <protection locked="0"/>
    </xf>
    <xf numFmtId="0" fontId="0" fillId="0" borderId="14" xfId="0" applyBorder="1" applyAlignment="1">
      <alignment horizontal="right" wrapText="1"/>
    </xf>
    <xf numFmtId="0" fontId="4" fillId="0" borderId="0" xfId="0" applyFont="1" applyAlignment="1">
      <alignment horizontal="right"/>
    </xf>
    <xf numFmtId="0" fontId="0" fillId="0" borderId="32" xfId="0" applyBorder="1" applyAlignment="1">
      <alignment horizontal="right" wrapText="1"/>
    </xf>
    <xf numFmtId="0" fontId="8" fillId="0" borderId="20" xfId="1" applyBorder="1" applyAlignment="1">
      <alignment horizontal="center" wrapText="1"/>
    </xf>
    <xf numFmtId="164" fontId="8" fillId="7" borderId="11" xfId="1" applyNumberFormat="1" applyFill="1" applyBorder="1" applyAlignment="1">
      <alignment wrapText="1"/>
    </xf>
    <xf numFmtId="0" fontId="20" fillId="0" borderId="0" xfId="6" applyFont="1" applyBorder="1" applyProtection="1"/>
    <xf numFmtId="0" fontId="21" fillId="0" borderId="0" xfId="6" applyFont="1" applyBorder="1" applyProtection="1"/>
    <xf numFmtId="3" fontId="0" fillId="0" borderId="14" xfId="0" applyNumberFormat="1" applyBorder="1" applyProtection="1">
      <protection locked="0"/>
    </xf>
    <xf numFmtId="0" fontId="22" fillId="4" borderId="10" xfId="0" applyFont="1" applyFill="1" applyBorder="1"/>
    <xf numFmtId="0" fontId="22" fillId="4" borderId="11" xfId="0" applyFont="1" applyFill="1" applyBorder="1"/>
    <xf numFmtId="0" fontId="22" fillId="6" borderId="11" xfId="0" applyFont="1" applyFill="1" applyBorder="1"/>
    <xf numFmtId="0" fontId="22" fillId="6" borderId="12" xfId="0" applyFont="1" applyFill="1" applyBorder="1"/>
    <xf numFmtId="0" fontId="23" fillId="0" borderId="14" xfId="0" applyFont="1" applyBorder="1" applyAlignment="1">
      <alignment wrapText="1"/>
    </xf>
    <xf numFmtId="0" fontId="23" fillId="0" borderId="41" xfId="0" applyFont="1" applyBorder="1"/>
    <xf numFmtId="0" fontId="23" fillId="0" borderId="27" xfId="0" applyFont="1" applyBorder="1" applyAlignment="1">
      <alignment horizontal="right"/>
    </xf>
    <xf numFmtId="0" fontId="23" fillId="0" borderId="0" xfId="0" applyFont="1"/>
    <xf numFmtId="0" fontId="23" fillId="0" borderId="0" xfId="0" applyFont="1" applyAlignment="1">
      <alignment horizontal="center" wrapText="1"/>
    </xf>
    <xf numFmtId="164" fontId="22" fillId="0" borderId="35" xfId="0" applyNumberFormat="1" applyFont="1" applyBorder="1" applyAlignment="1">
      <alignment horizontal="left"/>
    </xf>
    <xf numFmtId="0" fontId="23" fillId="0" borderId="0" xfId="0" applyFont="1" applyAlignment="1">
      <alignment horizontal="left" wrapText="1"/>
    </xf>
    <xf numFmtId="0" fontId="23" fillId="0" borderId="24" xfId="0" applyFont="1" applyBorder="1" applyAlignment="1">
      <alignment horizontal="center" wrapText="1"/>
    </xf>
    <xf numFmtId="0" fontId="23" fillId="0" borderId="25" xfId="0" applyFont="1" applyBorder="1" applyAlignment="1">
      <alignment horizontal="center" wrapText="1"/>
    </xf>
    <xf numFmtId="3" fontId="23" fillId="0" borderId="15" xfId="0" applyNumberFormat="1" applyFont="1" applyBorder="1"/>
    <xf numFmtId="0" fontId="23" fillId="9" borderId="0" xfId="0" applyFont="1" applyFill="1"/>
    <xf numFmtId="0" fontId="23" fillId="0" borderId="15" xfId="0" applyFont="1" applyBorder="1"/>
    <xf numFmtId="0" fontId="23" fillId="0" borderId="0" xfId="0" applyFont="1" applyAlignment="1">
      <alignment horizontal="right"/>
    </xf>
    <xf numFmtId="0" fontId="22" fillId="0" borderId="36" xfId="0" applyFont="1" applyBorder="1"/>
    <xf numFmtId="0" fontId="22" fillId="6" borderId="38" xfId="0" applyFont="1" applyFill="1" applyBorder="1"/>
    <xf numFmtId="0" fontId="22" fillId="6" borderId="39" xfId="0" applyFont="1" applyFill="1" applyBorder="1"/>
    <xf numFmtId="0" fontId="22" fillId="6" borderId="40" xfId="0" applyFont="1" applyFill="1" applyBorder="1"/>
    <xf numFmtId="0" fontId="22" fillId="0" borderId="0" xfId="0" applyFont="1" applyAlignment="1">
      <alignment wrapText="1"/>
    </xf>
    <xf numFmtId="0" fontId="23" fillId="10" borderId="0" xfId="0" applyFont="1" applyFill="1"/>
    <xf numFmtId="0" fontId="9" fillId="0" borderId="0" xfId="0" applyFont="1" applyAlignment="1" applyProtection="1">
      <alignment horizontal="left" vertical="top"/>
      <protection locked="0"/>
    </xf>
    <xf numFmtId="164" fontId="0" fillId="0" borderId="24" xfId="0" applyNumberFormat="1" applyBorder="1" applyProtection="1">
      <protection locked="0"/>
    </xf>
    <xf numFmtId="164" fontId="0" fillId="0" borderId="0" xfId="0" applyNumberFormat="1" applyProtection="1">
      <protection locked="0"/>
    </xf>
    <xf numFmtId="164" fontId="0" fillId="0" borderId="25" xfId="0" applyNumberFormat="1" applyBorder="1"/>
    <xf numFmtId="164" fontId="0" fillId="9" borderId="24" xfId="0" applyNumberFormat="1" applyFill="1" applyBorder="1" applyProtection="1">
      <protection locked="0"/>
    </xf>
    <xf numFmtId="164" fontId="0" fillId="9" borderId="0" xfId="0" applyNumberFormat="1" applyFill="1" applyProtection="1">
      <protection locked="0"/>
    </xf>
    <xf numFmtId="164" fontId="0" fillId="9" borderId="25" xfId="0" applyNumberFormat="1" applyFill="1" applyBorder="1"/>
    <xf numFmtId="164" fontId="1" fillId="0" borderId="24" xfId="0" applyNumberFormat="1" applyFont="1" applyBorder="1" applyProtection="1">
      <protection locked="0"/>
    </xf>
    <xf numFmtId="164" fontId="1" fillId="0" borderId="0" xfId="0" applyNumberFormat="1" applyFont="1" applyProtection="1">
      <protection locked="0"/>
    </xf>
    <xf numFmtId="0" fontId="0" fillId="0" borderId="25" xfId="0" applyBorder="1" applyProtection="1">
      <protection locked="0"/>
    </xf>
    <xf numFmtId="164" fontId="23" fillId="0" borderId="24" xfId="0" applyNumberFormat="1" applyFont="1" applyBorder="1"/>
    <xf numFmtId="164" fontId="23" fillId="0" borderId="0" xfId="0" applyNumberFormat="1" applyFont="1"/>
    <xf numFmtId="164" fontId="23" fillId="9" borderId="26" xfId="0" applyNumberFormat="1" applyFont="1" applyFill="1" applyBorder="1"/>
    <xf numFmtId="164" fontId="23" fillId="9" borderId="27" xfId="0" applyNumberFormat="1" applyFont="1" applyFill="1" applyBorder="1"/>
    <xf numFmtId="164" fontId="23" fillId="10" borderId="24" xfId="0" applyNumberFormat="1" applyFont="1" applyFill="1" applyBorder="1"/>
    <xf numFmtId="164" fontId="23" fillId="10" borderId="0" xfId="0" applyNumberFormat="1" applyFont="1" applyFill="1"/>
    <xf numFmtId="164" fontId="0" fillId="0" borderId="44" xfId="0" applyNumberFormat="1" applyBorder="1"/>
    <xf numFmtId="164" fontId="0" fillId="0" borderId="30" xfId="0" applyNumberFormat="1" applyBorder="1"/>
    <xf numFmtId="0" fontId="1" fillId="0" borderId="9" xfId="0" applyFont="1" applyBorder="1" applyAlignment="1">
      <alignment horizontal="center" wrapText="1"/>
    </xf>
    <xf numFmtId="164" fontId="0" fillId="0" borderId="19" xfId="0" applyNumberFormat="1" applyBorder="1"/>
    <xf numFmtId="0" fontId="0" fillId="0" borderId="22" xfId="0" applyBorder="1" applyAlignment="1">
      <alignment horizontal="right"/>
    </xf>
    <xf numFmtId="164" fontId="0" fillId="0" borderId="20" xfId="0" applyNumberFormat="1" applyBorder="1"/>
    <xf numFmtId="164" fontId="0" fillId="0" borderId="21" xfId="0" applyNumberFormat="1" applyBorder="1"/>
    <xf numFmtId="0" fontId="0" fillId="0" borderId="0" xfId="0" applyAlignment="1">
      <alignment horizontal="right"/>
    </xf>
    <xf numFmtId="164" fontId="18" fillId="0" borderId="0" xfId="1" applyNumberFormat="1" applyFont="1" applyBorder="1"/>
    <xf numFmtId="0" fontId="23" fillId="0" borderId="16" xfId="0" applyFont="1" applyBorder="1" applyAlignment="1">
      <alignment horizontal="center" wrapText="1"/>
    </xf>
    <xf numFmtId="0" fontId="22" fillId="0" borderId="45" xfId="0" applyFont="1" applyBorder="1"/>
    <xf numFmtId="0" fontId="0" fillId="0" borderId="45" xfId="0" applyBorder="1"/>
    <xf numFmtId="0" fontId="22" fillId="0" borderId="34" xfId="0" applyFont="1" applyBorder="1" applyAlignment="1">
      <alignment horizontal="right"/>
    </xf>
    <xf numFmtId="0" fontId="22" fillId="0" borderId="0" xfId="0" applyFont="1" applyAlignment="1">
      <alignment horizontal="left" wrapText="1"/>
    </xf>
    <xf numFmtId="0" fontId="22" fillId="0" borderId="37" xfId="0" applyFont="1" applyBorder="1" applyAlignment="1">
      <alignment horizontal="right"/>
    </xf>
    <xf numFmtId="0" fontId="0" fillId="0" borderId="7" xfId="0" applyBorder="1" applyAlignment="1">
      <alignment horizontal="right"/>
    </xf>
    <xf numFmtId="0" fontId="6" fillId="0" borderId="0" xfId="2" applyFont="1" applyFill="1" applyBorder="1" applyAlignment="1" applyProtection="1">
      <alignment horizontal="left" vertical="top"/>
    </xf>
    <xf numFmtId="0" fontId="25" fillId="0" borderId="0" xfId="0" applyFont="1"/>
    <xf numFmtId="0" fontId="25" fillId="2" borderId="0" xfId="0" applyFont="1" applyFill="1"/>
    <xf numFmtId="0" fontId="26" fillId="4" borderId="0" xfId="0" applyFont="1" applyFill="1"/>
    <xf numFmtId="0" fontId="26" fillId="3" borderId="0" xfId="0" applyFont="1" applyFill="1"/>
    <xf numFmtId="0" fontId="26" fillId="0" borderId="0" xfId="0" applyFont="1"/>
    <xf numFmtId="0" fontId="25" fillId="5" borderId="0" xfId="0" applyFont="1" applyFill="1"/>
    <xf numFmtId="0" fontId="26" fillId="6" borderId="0" xfId="0" applyFont="1" applyFill="1"/>
    <xf numFmtId="0" fontId="26" fillId="7" borderId="0" xfId="0" applyFont="1" applyFill="1"/>
    <xf numFmtId="0" fontId="26" fillId="7" borderId="0" xfId="0" applyFont="1" applyFill="1" applyAlignment="1">
      <alignment horizontal="left" indent="1"/>
    </xf>
    <xf numFmtId="0" fontId="26" fillId="7" borderId="0" xfId="0" applyFont="1" applyFill="1" applyAlignment="1">
      <alignment horizontal="left"/>
    </xf>
    <xf numFmtId="0" fontId="1" fillId="2" borderId="0" xfId="0" applyFont="1" applyFill="1" applyAlignment="1">
      <alignment horizontal="right"/>
    </xf>
    <xf numFmtId="0" fontId="1" fillId="5" borderId="0" xfId="0" applyFont="1" applyFill="1" applyAlignment="1">
      <alignment horizontal="right"/>
    </xf>
    <xf numFmtId="0" fontId="4" fillId="2" borderId="0" xfId="0" applyFont="1" applyFill="1" applyAlignment="1">
      <alignment horizontal="right"/>
    </xf>
    <xf numFmtId="0" fontId="4" fillId="12" borderId="0" xfId="0" applyFont="1" applyFill="1" applyAlignment="1">
      <alignment horizontal="right"/>
    </xf>
    <xf numFmtId="164" fontId="4" fillId="2" borderId="0" xfId="0" applyNumberFormat="1" applyFont="1" applyFill="1"/>
    <xf numFmtId="164" fontId="0" fillId="2" borderId="0" xfId="0" applyNumberFormat="1" applyFill="1"/>
    <xf numFmtId="164" fontId="4" fillId="5" borderId="0" xfId="0" applyNumberFormat="1" applyFont="1" applyFill="1"/>
    <xf numFmtId="164" fontId="0" fillId="5" borderId="0" xfId="0" applyNumberFormat="1" applyFill="1"/>
    <xf numFmtId="164" fontId="4" fillId="12" borderId="0" xfId="0" applyNumberFormat="1" applyFont="1" applyFill="1"/>
    <xf numFmtId="164" fontId="0" fillId="12" borderId="0" xfId="0" applyNumberFormat="1" applyFill="1"/>
    <xf numFmtId="164" fontId="28" fillId="4" borderId="10" xfId="0" applyNumberFormat="1" applyFont="1" applyFill="1" applyBorder="1" applyAlignment="1">
      <alignment horizontal="right" vertical="top"/>
    </xf>
    <xf numFmtId="164" fontId="29" fillId="4" borderId="12" xfId="0" applyNumberFormat="1" applyFont="1" applyFill="1" applyBorder="1" applyAlignment="1">
      <alignment horizontal="right" vertical="top"/>
    </xf>
    <xf numFmtId="164" fontId="28" fillId="0" borderId="14" xfId="2" applyNumberFormat="1" applyFont="1" applyFill="1" applyBorder="1" applyAlignment="1" applyProtection="1">
      <alignment horizontal="right" vertical="top"/>
    </xf>
    <xf numFmtId="164" fontId="6" fillId="0" borderId="14" xfId="2" applyNumberFormat="1" applyFont="1" applyFill="1" applyBorder="1" applyAlignment="1" applyProtection="1">
      <alignment horizontal="right" vertical="top"/>
    </xf>
    <xf numFmtId="164" fontId="6" fillId="6" borderId="43" xfId="0" applyNumberFormat="1" applyFont="1" applyFill="1" applyBorder="1" applyAlignment="1">
      <alignment horizontal="right" vertical="top"/>
    </xf>
    <xf numFmtId="49" fontId="1" fillId="0" borderId="4" xfId="0" applyNumberFormat="1" applyFont="1" applyBorder="1" applyAlignment="1">
      <alignment horizontal="left" vertical="center"/>
    </xf>
    <xf numFmtId="0" fontId="0" fillId="0" borderId="0" xfId="0" applyAlignment="1">
      <alignment wrapText="1"/>
    </xf>
    <xf numFmtId="0" fontId="0" fillId="0" borderId="0" xfId="0" applyAlignment="1">
      <alignment horizontal="center" wrapText="1"/>
    </xf>
    <xf numFmtId="0" fontId="6" fillId="0" borderId="4" xfId="2" applyFont="1" applyFill="1" applyBorder="1" applyAlignment="1" applyProtection="1">
      <alignment horizontal="left" vertical="top"/>
      <protection locked="0"/>
    </xf>
    <xf numFmtId="0" fontId="6" fillId="0" borderId="15" xfId="2" applyFont="1" applyFill="1" applyBorder="1" applyAlignment="1" applyProtection="1">
      <alignment horizontal="left" vertical="top"/>
    </xf>
    <xf numFmtId="0" fontId="28" fillId="4" borderId="4" xfId="0" applyFont="1" applyFill="1" applyBorder="1" applyAlignment="1">
      <alignment horizontal="right" vertical="top"/>
    </xf>
    <xf numFmtId="0" fontId="28" fillId="4" borderId="0" xfId="0" applyFont="1" applyFill="1" applyAlignment="1" applyProtection="1">
      <alignment horizontal="right" vertical="top"/>
      <protection locked="0"/>
    </xf>
    <xf numFmtId="0" fontId="28" fillId="4" borderId="11" xfId="0" applyFont="1" applyFill="1" applyBorder="1" applyAlignment="1" applyProtection="1">
      <alignment horizontal="right" vertical="top"/>
      <protection locked="0"/>
    </xf>
    <xf numFmtId="0" fontId="28" fillId="0" borderId="4" xfId="0" applyFont="1" applyBorder="1" applyAlignment="1">
      <alignment vertical="center"/>
    </xf>
    <xf numFmtId="0" fontId="28" fillId="0" borderId="0" xfId="2" applyFont="1" applyFill="1" applyBorder="1" applyAlignment="1" applyProtection="1">
      <alignment vertical="top"/>
    </xf>
    <xf numFmtId="0" fontId="28" fillId="0" borderId="15" xfId="2" applyFont="1" applyFill="1" applyBorder="1" applyAlignment="1" applyProtection="1">
      <alignment vertical="top"/>
    </xf>
    <xf numFmtId="0" fontId="6" fillId="0" borderId="4" xfId="0" applyFont="1" applyBorder="1" applyAlignment="1" applyProtection="1">
      <alignment horizontal="left" vertical="top"/>
      <protection locked="0"/>
    </xf>
    <xf numFmtId="0" fontId="6" fillId="0" borderId="0" xfId="2" applyFont="1" applyFill="1" applyBorder="1" applyAlignment="1" applyProtection="1">
      <alignment horizontal="left" vertical="top" wrapText="1"/>
    </xf>
    <xf numFmtId="0" fontId="6" fillId="0" borderId="15" xfId="2" applyFont="1" applyFill="1" applyBorder="1" applyAlignment="1" applyProtection="1">
      <alignment horizontal="left" vertical="top" wrapText="1"/>
    </xf>
    <xf numFmtId="0" fontId="6" fillId="0" borderId="15" xfId="0" applyFont="1" applyBorder="1" applyAlignment="1">
      <alignment horizontal="left" vertical="top"/>
    </xf>
    <xf numFmtId="0" fontId="6" fillId="6" borderId="0" xfId="0" applyFont="1" applyFill="1" applyAlignment="1" applyProtection="1">
      <alignment horizontal="left" vertical="top"/>
      <protection locked="0"/>
    </xf>
    <xf numFmtId="0" fontId="6" fillId="6" borderId="0" xfId="0" applyFont="1" applyFill="1" applyAlignment="1">
      <alignment horizontal="left" vertical="top"/>
    </xf>
    <xf numFmtId="0" fontId="6" fillId="6" borderId="0" xfId="0" applyFont="1" applyFill="1" applyAlignment="1">
      <alignment horizontal="right" vertical="top"/>
    </xf>
    <xf numFmtId="0" fontId="6" fillId="6" borderId="11" xfId="0" applyFont="1" applyFill="1" applyBorder="1" applyAlignment="1">
      <alignment horizontal="left" vertical="top"/>
    </xf>
    <xf numFmtId="49" fontId="1" fillId="0" borderId="6" xfId="0" applyNumberFormat="1" applyFont="1" applyBorder="1" applyAlignment="1">
      <alignment horizontal="left" vertical="center"/>
    </xf>
    <xf numFmtId="0" fontId="28" fillId="0" borderId="0" xfId="0" applyFont="1" applyAlignment="1">
      <alignment horizontal="right" vertical="top"/>
    </xf>
    <xf numFmtId="8" fontId="28" fillId="0" borderId="30" xfId="0" applyNumberFormat="1" applyFont="1" applyBorder="1" applyAlignment="1">
      <alignment horizontal="right" vertical="top"/>
    </xf>
    <xf numFmtId="164" fontId="6" fillId="6" borderId="30" xfId="0" applyNumberFormat="1" applyFont="1" applyFill="1" applyBorder="1" applyAlignment="1">
      <alignment horizontal="right" vertical="top"/>
    </xf>
    <xf numFmtId="8" fontId="1" fillId="0" borderId="30" xfId="0" applyNumberFormat="1" applyFont="1" applyBorder="1"/>
    <xf numFmtId="164" fontId="8" fillId="7" borderId="11" xfId="1" applyNumberFormat="1" applyFill="1" applyBorder="1"/>
    <xf numFmtId="0" fontId="3" fillId="0" borderId="0" xfId="0" applyFont="1" applyAlignment="1">
      <alignment horizontal="right"/>
    </xf>
    <xf numFmtId="0" fontId="0" fillId="4" borderId="0" xfId="0" applyFill="1" applyAlignment="1">
      <alignment horizontal="right"/>
    </xf>
    <xf numFmtId="0" fontId="0" fillId="3" borderId="0" xfId="0" applyFill="1" applyAlignment="1">
      <alignment horizontal="right"/>
    </xf>
    <xf numFmtId="0" fontId="13" fillId="0" borderId="0" xfId="0" applyFont="1" applyAlignment="1">
      <alignment horizontal="right"/>
    </xf>
    <xf numFmtId="0" fontId="0" fillId="6" borderId="0" xfId="0" applyFill="1" applyAlignment="1">
      <alignment horizontal="right"/>
    </xf>
    <xf numFmtId="0" fontId="0" fillId="7" borderId="0" xfId="0" applyFill="1" applyAlignment="1">
      <alignment horizontal="right"/>
    </xf>
    <xf numFmtId="0" fontId="0" fillId="7" borderId="0" xfId="0" applyFill="1" applyAlignment="1">
      <alignment horizontal="right" indent="1"/>
    </xf>
    <xf numFmtId="0" fontId="1" fillId="0" borderId="0" xfId="0" applyFont="1" applyAlignment="1">
      <alignment horizontal="left"/>
    </xf>
    <xf numFmtId="0" fontId="25" fillId="0" borderId="0" xfId="0" applyFont="1" applyAlignment="1">
      <alignment horizontal="left"/>
    </xf>
    <xf numFmtId="164" fontId="1" fillId="0" borderId="0" xfId="0" applyNumberFormat="1" applyFont="1" applyAlignment="1">
      <alignment horizontal="left"/>
    </xf>
    <xf numFmtId="0" fontId="0" fillId="0" borderId="0" xfId="0" applyAlignment="1">
      <alignment horizontal="left"/>
    </xf>
    <xf numFmtId="0" fontId="3" fillId="0" borderId="0" xfId="0" applyFont="1" applyAlignment="1">
      <alignment horizontal="left"/>
    </xf>
    <xf numFmtId="0" fontId="2" fillId="0" borderId="0" xfId="0" applyFont="1" applyAlignment="1">
      <alignment horizontal="left"/>
    </xf>
    <xf numFmtId="0" fontId="8" fillId="0" borderId="0" xfId="1" applyFill="1" applyBorder="1" applyAlignment="1" applyProtection="1">
      <alignment horizontal="left" vertical="top"/>
    </xf>
    <xf numFmtId="0" fontId="8" fillId="0" borderId="0" xfId="1" applyFill="1" applyBorder="1" applyAlignment="1">
      <alignment horizontal="left" vertical="top"/>
    </xf>
    <xf numFmtId="0" fontId="8" fillId="0" borderId="0" xfId="1" applyBorder="1" applyAlignment="1">
      <alignment horizontal="left" vertical="top"/>
    </xf>
    <xf numFmtId="164" fontId="8" fillId="0" borderId="20" xfId="1" applyNumberFormat="1" applyBorder="1"/>
    <xf numFmtId="164" fontId="8" fillId="0" borderId="21" xfId="1" applyNumberFormat="1" applyBorder="1"/>
    <xf numFmtId="164" fontId="8" fillId="7" borderId="10" xfId="1" applyNumberFormat="1" applyFill="1" applyBorder="1"/>
    <xf numFmtId="0" fontId="0" fillId="0" borderId="0" xfId="0" applyAlignment="1">
      <alignment horizontal="left" indent="1"/>
    </xf>
    <xf numFmtId="0" fontId="0" fillId="0" borderId="2" xfId="0" applyBorder="1" applyAlignment="1">
      <alignment horizontal="left" indent="1"/>
    </xf>
    <xf numFmtId="164" fontId="1" fillId="0" borderId="8" xfId="0" applyNumberFormat="1" applyFont="1" applyBorder="1" applyAlignment="1">
      <alignment horizontal="left" indent="1"/>
    </xf>
    <xf numFmtId="0" fontId="5" fillId="0" borderId="0" xfId="0" applyFont="1" applyAlignment="1">
      <alignment horizontal="left" indent="1"/>
    </xf>
    <xf numFmtId="0" fontId="1" fillId="0" borderId="0" xfId="0" applyFont="1" applyAlignment="1">
      <alignment horizontal="left" indent="1"/>
    </xf>
    <xf numFmtId="0" fontId="0" fillId="0" borderId="3" xfId="0" applyBorder="1" applyAlignment="1">
      <alignment horizontal="left" indent="1"/>
    </xf>
    <xf numFmtId="0" fontId="0" fillId="0" borderId="23" xfId="0" applyBorder="1" applyAlignment="1">
      <alignment horizontal="left" indent="1"/>
    </xf>
    <xf numFmtId="0" fontId="0" fillId="0" borderId="6" xfId="0" applyBorder="1" applyAlignment="1">
      <alignment horizontal="left" indent="1"/>
    </xf>
    <xf numFmtId="0" fontId="0" fillId="0" borderId="8" xfId="0" applyBorder="1" applyAlignment="1">
      <alignment horizontal="left" indent="1"/>
    </xf>
    <xf numFmtId="0" fontId="0" fillId="0" borderId="47" xfId="0" applyBorder="1" applyAlignment="1">
      <alignment horizontal="left" indent="1"/>
    </xf>
    <xf numFmtId="0" fontId="0" fillId="0" borderId="0" xfId="0" applyAlignment="1">
      <alignment horizontal="right" indent="1"/>
    </xf>
    <xf numFmtId="0" fontId="0" fillId="0" borderId="23" xfId="0" applyBorder="1" applyAlignment="1">
      <alignment horizontal="right" indent="1"/>
    </xf>
    <xf numFmtId="164" fontId="0" fillId="0" borderId="47" xfId="0" applyNumberFormat="1" applyBorder="1" applyAlignment="1">
      <alignment horizontal="right" indent="1"/>
    </xf>
    <xf numFmtId="0" fontId="22" fillId="0" borderId="1" xfId="0" applyFont="1" applyBorder="1" applyAlignment="1">
      <alignment vertical="top" wrapText="1"/>
    </xf>
    <xf numFmtId="0" fontId="23" fillId="0" borderId="25" xfId="0" applyFont="1" applyBorder="1" applyAlignment="1">
      <alignment horizontal="center" vertical="top" wrapText="1"/>
    </xf>
    <xf numFmtId="0" fontId="23" fillId="0" borderId="30" xfId="0" applyFont="1" applyBorder="1" applyAlignment="1">
      <alignment horizontal="center" vertical="top" wrapText="1"/>
    </xf>
    <xf numFmtId="0" fontId="23" fillId="0" borderId="29" xfId="0" applyFont="1" applyBorder="1" applyAlignment="1">
      <alignment horizontal="center" vertical="top" wrapText="1"/>
    </xf>
    <xf numFmtId="0" fontId="23" fillId="0" borderId="10" xfId="0" applyFont="1" applyBorder="1" applyAlignment="1">
      <alignment horizontal="center" vertical="top" wrapText="1"/>
    </xf>
    <xf numFmtId="0" fontId="23" fillId="0" borderId="11" xfId="0" applyFont="1" applyBorder="1" applyAlignment="1">
      <alignment horizontal="center" vertical="top" wrapText="1"/>
    </xf>
    <xf numFmtId="0" fontId="0" fillId="0" borderId="0" xfId="0" applyAlignment="1">
      <alignment vertical="top"/>
    </xf>
    <xf numFmtId="0" fontId="22" fillId="0" borderId="10" xfId="0" applyFont="1" applyBorder="1" applyAlignment="1">
      <alignment vertical="top" wrapText="1"/>
    </xf>
    <xf numFmtId="0" fontId="0" fillId="0" borderId="0" xfId="0" applyAlignment="1">
      <alignment horizontal="left" wrapText="1" indent="1"/>
    </xf>
    <xf numFmtId="44" fontId="0" fillId="0" borderId="0" xfId="7" applyFont="1" applyAlignment="1">
      <alignment horizontal="left" indent="1"/>
    </xf>
    <xf numFmtId="0" fontId="4" fillId="0" borderId="0" xfId="0" applyFont="1" applyAlignment="1">
      <alignment horizontal="left" indent="1"/>
    </xf>
    <xf numFmtId="0" fontId="0" fillId="0" borderId="23" xfId="0" applyBorder="1" applyAlignment="1">
      <alignment horizontal="left" wrapText="1" indent="1"/>
    </xf>
    <xf numFmtId="44" fontId="0" fillId="0" borderId="23" xfId="7" applyFont="1" applyBorder="1" applyAlignment="1">
      <alignment horizontal="left" indent="1"/>
    </xf>
    <xf numFmtId="0" fontId="0" fillId="0" borderId="47" xfId="0" applyBorder="1" applyAlignment="1">
      <alignment horizontal="left" wrapText="1" indent="1"/>
    </xf>
    <xf numFmtId="44" fontId="0" fillId="0" borderId="47" xfId="7" applyFont="1" applyBorder="1" applyAlignment="1">
      <alignment horizontal="left" indent="1"/>
    </xf>
    <xf numFmtId="0" fontId="0" fillId="0" borderId="46" xfId="0" applyBorder="1" applyAlignment="1">
      <alignment horizontal="left" wrapText="1" indent="1"/>
    </xf>
    <xf numFmtId="0" fontId="0" fillId="0" borderId="46" xfId="0" applyBorder="1" applyAlignment="1">
      <alignment horizontal="left" indent="1"/>
    </xf>
    <xf numFmtId="44" fontId="0" fillId="0" borderId="46" xfId="7" applyFont="1" applyBorder="1" applyAlignment="1">
      <alignment horizontal="left" indent="1"/>
    </xf>
    <xf numFmtId="0" fontId="6" fillId="0" borderId="0" xfId="2" applyFont="1" applyFill="1" applyBorder="1" applyAlignment="1" applyProtection="1">
      <alignment vertical="top"/>
    </xf>
    <xf numFmtId="0" fontId="0" fillId="0" borderId="10" xfId="0" applyBorder="1"/>
    <xf numFmtId="0" fontId="0" fillId="0" borderId="11" xfId="0" applyBorder="1"/>
    <xf numFmtId="164" fontId="0" fillId="0" borderId="0" xfId="0" applyNumberFormat="1" applyAlignment="1">
      <alignment horizontal="right"/>
    </xf>
    <xf numFmtId="0" fontId="0" fillId="0" borderId="14" xfId="0" applyBorder="1" applyAlignment="1" applyProtection="1">
      <alignment wrapText="1"/>
      <protection locked="0"/>
    </xf>
    <xf numFmtId="164" fontId="0" fillId="0" borderId="15" xfId="0" applyNumberFormat="1" applyBorder="1" applyProtection="1">
      <protection locked="0"/>
    </xf>
    <xf numFmtId="164" fontId="1" fillId="0" borderId="16" xfId="0" applyNumberFormat="1" applyFont="1" applyBorder="1" applyProtection="1">
      <protection locked="0"/>
    </xf>
    <xf numFmtId="0" fontId="0" fillId="0" borderId="33" xfId="0" applyBorder="1" applyAlignment="1" applyProtection="1">
      <alignment wrapText="1"/>
      <protection locked="0"/>
    </xf>
    <xf numFmtId="164" fontId="0" fillId="0" borderId="3" xfId="0" applyNumberFormat="1" applyBorder="1" applyAlignment="1" applyProtection="1">
      <alignment wrapText="1"/>
      <protection locked="0"/>
    </xf>
    <xf numFmtId="164" fontId="0" fillId="0" borderId="23" xfId="0" applyNumberFormat="1" applyBorder="1" applyAlignment="1" applyProtection="1">
      <alignment wrapText="1"/>
      <protection locked="0"/>
    </xf>
    <xf numFmtId="0" fontId="0" fillId="0" borderId="31" xfId="0" applyBorder="1" applyAlignment="1" applyProtection="1">
      <alignment wrapText="1"/>
      <protection locked="0"/>
    </xf>
    <xf numFmtId="164" fontId="0" fillId="0" borderId="6" xfId="0" applyNumberFormat="1" applyBorder="1" applyAlignment="1" applyProtection="1">
      <alignment wrapText="1"/>
      <protection locked="0"/>
    </xf>
    <xf numFmtId="3" fontId="23" fillId="0" borderId="15" xfId="0" applyNumberFormat="1" applyFont="1" applyBorder="1" applyProtection="1">
      <protection locked="0"/>
    </xf>
    <xf numFmtId="0" fontId="23" fillId="0" borderId="0" xfId="0" applyFont="1" applyAlignment="1" applyProtection="1">
      <alignment wrapText="1"/>
      <protection locked="0"/>
    </xf>
    <xf numFmtId="164" fontId="23" fillId="0" borderId="24" xfId="0" applyNumberFormat="1" applyFont="1" applyBorder="1" applyProtection="1">
      <protection locked="0"/>
    </xf>
    <xf numFmtId="164" fontId="23" fillId="0" borderId="0" xfId="0" applyNumberFormat="1" applyFont="1" applyProtection="1">
      <protection locked="0"/>
    </xf>
    <xf numFmtId="0" fontId="23" fillId="0" borderId="0" xfId="0" applyFont="1" applyProtection="1">
      <protection locked="0"/>
    </xf>
    <xf numFmtId="0" fontId="23" fillId="9" borderId="0" xfId="0" applyFont="1" applyFill="1" applyProtection="1">
      <protection locked="0"/>
    </xf>
    <xf numFmtId="164" fontId="23" fillId="9" borderId="24" xfId="0" applyNumberFormat="1" applyFont="1" applyFill="1" applyBorder="1" applyProtection="1">
      <protection locked="0"/>
    </xf>
    <xf numFmtId="164" fontId="23" fillId="9" borderId="0" xfId="0" applyNumberFormat="1" applyFont="1" applyFill="1" applyProtection="1">
      <protection locked="0"/>
    </xf>
    <xf numFmtId="164" fontId="23" fillId="0" borderId="25" xfId="0" applyNumberFormat="1" applyFont="1" applyBorder="1"/>
    <xf numFmtId="164" fontId="23" fillId="10" borderId="25" xfId="0" applyNumberFormat="1" applyFont="1" applyFill="1" applyBorder="1"/>
    <xf numFmtId="164" fontId="23" fillId="9" borderId="25" xfId="0" applyNumberFormat="1" applyFont="1" applyFill="1" applyBorder="1"/>
    <xf numFmtId="164" fontId="23" fillId="9" borderId="26" xfId="0" applyNumberFormat="1" applyFont="1" applyFill="1" applyBorder="1" applyProtection="1">
      <protection locked="0"/>
    </xf>
    <xf numFmtId="164" fontId="23" fillId="9" borderId="27" xfId="0" applyNumberFormat="1" applyFont="1" applyFill="1" applyBorder="1" applyProtection="1">
      <protection locked="0"/>
    </xf>
    <xf numFmtId="164" fontId="8" fillId="4" borderId="52" xfId="0" applyNumberFormat="1" applyFont="1" applyFill="1" applyBorder="1"/>
    <xf numFmtId="0" fontId="0" fillId="0" borderId="0" xfId="0" applyAlignment="1" applyProtection="1">
      <alignment wrapText="1"/>
      <protection locked="0"/>
    </xf>
    <xf numFmtId="164" fontId="8" fillId="6" borderId="52" xfId="0" applyNumberFormat="1" applyFont="1" applyFill="1" applyBorder="1"/>
    <xf numFmtId="0" fontId="23" fillId="0" borderId="0" xfId="0" applyFont="1" applyAlignment="1" applyProtection="1">
      <alignment horizontal="left" wrapText="1"/>
      <protection locked="0"/>
    </xf>
    <xf numFmtId="0" fontId="0" fillId="3" borderId="0" xfId="0" applyFill="1" applyAlignment="1">
      <alignment horizontal="left"/>
    </xf>
    <xf numFmtId="0" fontId="33" fillId="0" borderId="0" xfId="0" applyFont="1" applyAlignment="1">
      <alignment vertical="center"/>
    </xf>
    <xf numFmtId="0" fontId="6" fillId="0" borderId="0" xfId="0" applyFont="1" applyAlignment="1">
      <alignment vertical="center"/>
    </xf>
    <xf numFmtId="0" fontId="6" fillId="12" borderId="0" xfId="0" applyFont="1" applyFill="1" applyAlignment="1">
      <alignment vertical="center"/>
    </xf>
    <xf numFmtId="0" fontId="6" fillId="13" borderId="0" xfId="0" applyFont="1" applyFill="1" applyAlignment="1">
      <alignment vertical="center" wrapText="1"/>
    </xf>
    <xf numFmtId="0" fontId="6" fillId="14" borderId="0" xfId="0" applyFont="1" applyFill="1" applyAlignment="1">
      <alignment vertical="center" wrapText="1"/>
    </xf>
    <xf numFmtId="0" fontId="34" fillId="0" borderId="0" xfId="8" applyFont="1" applyBorder="1" applyAlignment="1" applyProtection="1">
      <alignment horizontal="left" vertical="center"/>
    </xf>
    <xf numFmtId="164" fontId="23" fillId="0" borderId="49" xfId="0" applyNumberFormat="1" applyFont="1" applyBorder="1"/>
    <xf numFmtId="0" fontId="0" fillId="9" borderId="0" xfId="0" applyFill="1" applyAlignment="1" applyProtection="1">
      <alignment wrapText="1"/>
      <protection locked="0"/>
    </xf>
    <xf numFmtId="164" fontId="24" fillId="4" borderId="52" xfId="0" applyNumberFormat="1" applyFont="1" applyFill="1" applyBorder="1"/>
    <xf numFmtId="164" fontId="24" fillId="6" borderId="52" xfId="0" applyNumberFormat="1" applyFont="1" applyFill="1" applyBorder="1"/>
    <xf numFmtId="164" fontId="0" fillId="0" borderId="46" xfId="0" applyNumberFormat="1" applyBorder="1" applyProtection="1">
      <protection locked="0"/>
    </xf>
    <xf numFmtId="164" fontId="23" fillId="0" borderId="48" xfId="0" applyNumberFormat="1" applyFont="1" applyBorder="1"/>
    <xf numFmtId="8" fontId="35" fillId="15" borderId="0" xfId="0" applyNumberFormat="1" applyFont="1" applyFill="1" applyAlignment="1">
      <alignment horizontal="right" wrapText="1"/>
    </xf>
    <xf numFmtId="8" fontId="35" fillId="16" borderId="0" xfId="0" applyNumberFormat="1" applyFont="1" applyFill="1" applyAlignment="1">
      <alignment horizontal="right" wrapText="1"/>
    </xf>
    <xf numFmtId="164" fontId="0" fillId="0" borderId="48" xfId="0" applyNumberFormat="1" applyBorder="1" applyProtection="1">
      <protection locked="0"/>
    </xf>
    <xf numFmtId="164" fontId="8" fillId="3" borderId="11" xfId="1" applyNumberFormat="1" applyFill="1" applyBorder="1"/>
    <xf numFmtId="164" fontId="0" fillId="0" borderId="47" xfId="0" applyNumberFormat="1" applyBorder="1"/>
    <xf numFmtId="164" fontId="0" fillId="0" borderId="46" xfId="0" applyNumberFormat="1" applyBorder="1"/>
    <xf numFmtId="164" fontId="0" fillId="0" borderId="49" xfId="0" applyNumberFormat="1" applyBorder="1"/>
    <xf numFmtId="0" fontId="23" fillId="0" borderId="0" xfId="0" applyFont="1" applyAlignment="1">
      <alignment wrapText="1"/>
    </xf>
    <xf numFmtId="164" fontId="0" fillId="0" borderId="23" xfId="0" applyNumberFormat="1" applyBorder="1" applyProtection="1">
      <protection locked="0"/>
    </xf>
    <xf numFmtId="164" fontId="0" fillId="0" borderId="47" xfId="0" applyNumberFormat="1" applyBorder="1" applyProtection="1">
      <protection locked="0"/>
    </xf>
    <xf numFmtId="0" fontId="4" fillId="0" borderId="50" xfId="0" applyFont="1" applyBorder="1" applyAlignment="1">
      <alignment vertical="top" wrapText="1"/>
    </xf>
    <xf numFmtId="0" fontId="1" fillId="0" borderId="51" xfId="0" applyFont="1" applyBorder="1" applyAlignment="1">
      <alignment horizont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vertical="center"/>
    </xf>
    <xf numFmtId="0" fontId="11" fillId="0" borderId="57" xfId="0" applyFont="1" applyBorder="1" applyAlignment="1">
      <alignment vertical="center"/>
    </xf>
    <xf numFmtId="0" fontId="11" fillId="0" borderId="58" xfId="0" applyFont="1" applyBorder="1" applyAlignment="1">
      <alignment horizontal="center" vertical="center"/>
    </xf>
    <xf numFmtId="0" fontId="15" fillId="0" borderId="59" xfId="0" applyFont="1" applyBorder="1" applyAlignment="1">
      <alignment vertical="center" wrapText="1"/>
    </xf>
    <xf numFmtId="0" fontId="11" fillId="0" borderId="60" xfId="0" applyFont="1" applyBorder="1" applyAlignment="1">
      <alignment vertical="center"/>
    </xf>
    <xf numFmtId="0" fontId="11" fillId="0" borderId="61" xfId="0" applyFont="1" applyBorder="1" applyAlignment="1">
      <alignment vertical="center"/>
    </xf>
    <xf numFmtId="0" fontId="11" fillId="0" borderId="47" xfId="0" applyFont="1" applyBorder="1" applyAlignment="1">
      <alignment horizontal="center" vertical="center"/>
    </xf>
    <xf numFmtId="0" fontId="15" fillId="0" borderId="62" xfId="0" applyFont="1" applyBorder="1" applyAlignment="1">
      <alignment vertical="center" wrapText="1"/>
    </xf>
    <xf numFmtId="0" fontId="11" fillId="0" borderId="63"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0" fontId="11" fillId="0" borderId="65" xfId="0" applyFont="1" applyBorder="1" applyAlignment="1">
      <alignment horizontal="center" vertical="center"/>
    </xf>
    <xf numFmtId="0" fontId="15" fillId="0" borderId="66" xfId="0" applyFont="1" applyBorder="1" applyAlignment="1">
      <alignment vertical="center" wrapText="1"/>
    </xf>
    <xf numFmtId="0" fontId="0" fillId="0" borderId="67" xfId="0" applyBorder="1" applyAlignment="1">
      <alignment vertical="center"/>
    </xf>
    <xf numFmtId="0" fontId="0" fillId="0" borderId="68" xfId="0" applyBorder="1" applyAlignment="1">
      <alignment horizontal="right" vertical="center"/>
    </xf>
    <xf numFmtId="0" fontId="0" fillId="0" borderId="68" xfId="0" applyBorder="1" applyAlignment="1">
      <alignment horizontal="center" vertical="center"/>
    </xf>
    <xf numFmtId="0" fontId="0" fillId="0" borderId="69" xfId="0" applyBorder="1" applyAlignment="1">
      <alignment vertical="center"/>
    </xf>
    <xf numFmtId="0" fontId="0" fillId="0" borderId="70" xfId="0" applyBorder="1"/>
    <xf numFmtId="0" fontId="0" fillId="0" borderId="71" xfId="0" applyBorder="1"/>
    <xf numFmtId="168" fontId="12" fillId="0" borderId="73" xfId="5" applyNumberFormat="1" applyBorder="1" applyProtection="1"/>
    <xf numFmtId="0" fontId="0" fillId="0" borderId="47" xfId="0" applyBorder="1"/>
    <xf numFmtId="0" fontId="0" fillId="0" borderId="74" xfId="0" applyBorder="1"/>
    <xf numFmtId="0" fontId="0" fillId="0" borderId="75" xfId="0" applyBorder="1"/>
    <xf numFmtId="164" fontId="12" fillId="0" borderId="76" xfId="5" applyNumberFormat="1" applyBorder="1" applyProtection="1">
      <protection locked="0"/>
    </xf>
    <xf numFmtId="0" fontId="0" fillId="0" borderId="77" xfId="0" applyBorder="1" applyAlignment="1">
      <alignment horizontal="left" indent="1"/>
    </xf>
    <xf numFmtId="0" fontId="0" fillId="0" borderId="78" xfId="0" applyBorder="1" applyAlignment="1">
      <alignment horizontal="left" indent="1"/>
    </xf>
    <xf numFmtId="0" fontId="0" fillId="0" borderId="77" xfId="0" applyBorder="1"/>
    <xf numFmtId="0" fontId="0" fillId="0" borderId="78" xfId="0" applyBorder="1" applyAlignment="1">
      <alignment horizontal="left" wrapText="1" indent="1"/>
    </xf>
    <xf numFmtId="0" fontId="1" fillId="0" borderId="79" xfId="0" applyFont="1" applyBorder="1" applyAlignment="1">
      <alignment horizontal="center" wrapText="1"/>
    </xf>
    <xf numFmtId="0" fontId="1" fillId="0" borderId="80" xfId="0" applyFont="1" applyBorder="1" applyAlignment="1">
      <alignment horizontal="center" wrapText="1"/>
    </xf>
    <xf numFmtId="0" fontId="1" fillId="0" borderId="81" xfId="0" applyFont="1" applyBorder="1" applyAlignment="1">
      <alignment horizontal="center" wrapText="1"/>
    </xf>
    <xf numFmtId="164" fontId="8" fillId="7" borderId="79" xfId="1" applyNumberFormat="1" applyFill="1" applyBorder="1"/>
    <xf numFmtId="164" fontId="8" fillId="7" borderId="80" xfId="1" applyNumberFormat="1" applyFill="1" applyBorder="1"/>
    <xf numFmtId="164" fontId="4" fillId="3" borderId="81" xfId="0" applyNumberFormat="1" applyFont="1" applyFill="1" applyBorder="1"/>
    <xf numFmtId="0" fontId="1" fillId="7" borderId="79" xfId="0" applyFont="1" applyFill="1" applyBorder="1"/>
    <xf numFmtId="0" fontId="1" fillId="7" borderId="80" xfId="0" applyFont="1" applyFill="1" applyBorder="1"/>
    <xf numFmtId="0" fontId="1" fillId="3" borderId="80" xfId="0" applyFont="1" applyFill="1" applyBorder="1"/>
    <xf numFmtId="0" fontId="0" fillId="3" borderId="81" xfId="0" applyFill="1" applyBorder="1"/>
    <xf numFmtId="0" fontId="0" fillId="0" borderId="70" xfId="0" applyBorder="1" applyAlignment="1" applyProtection="1">
      <alignment wrapText="1"/>
      <protection locked="0"/>
    </xf>
    <xf numFmtId="164" fontId="0" fillId="0" borderId="71" xfId="0" applyNumberFormat="1" applyBorder="1" applyProtection="1">
      <protection locked="0"/>
    </xf>
    <xf numFmtId="164" fontId="0" fillId="0" borderId="80" xfId="0" applyNumberFormat="1" applyBorder="1" applyProtection="1">
      <protection locked="0"/>
    </xf>
    <xf numFmtId="164" fontId="1" fillId="0" borderId="73" xfId="0" applyNumberFormat="1" applyFont="1" applyBorder="1" applyProtection="1">
      <protection locked="0"/>
    </xf>
    <xf numFmtId="0" fontId="0" fillId="0" borderId="18" xfId="0" applyBorder="1" applyAlignment="1" applyProtection="1">
      <alignment wrapText="1"/>
      <protection locked="0"/>
    </xf>
    <xf numFmtId="164" fontId="1" fillId="0" borderId="19" xfId="0" applyNumberFormat="1" applyFont="1" applyBorder="1" applyProtection="1">
      <protection locked="0"/>
    </xf>
    <xf numFmtId="0" fontId="0" fillId="0" borderId="74" xfId="0" applyBorder="1" applyAlignment="1" applyProtection="1">
      <alignment wrapText="1"/>
      <protection locked="0"/>
    </xf>
    <xf numFmtId="164" fontId="1" fillId="0" borderId="76" xfId="0" applyNumberFormat="1" applyFont="1" applyBorder="1" applyProtection="1">
      <protection locked="0"/>
    </xf>
    <xf numFmtId="0" fontId="0" fillId="0" borderId="70" xfId="0" applyBorder="1" applyAlignment="1">
      <alignment wrapText="1"/>
    </xf>
    <xf numFmtId="164" fontId="0" fillId="0" borderId="71" xfId="0" applyNumberFormat="1" applyBorder="1"/>
    <xf numFmtId="0" fontId="5" fillId="0" borderId="82" xfId="0" applyFont="1" applyBorder="1" applyAlignment="1">
      <alignment vertical="top" wrapText="1"/>
    </xf>
    <xf numFmtId="164" fontId="0" fillId="0" borderId="77" xfId="0" applyNumberFormat="1" applyBorder="1" applyAlignment="1" applyProtection="1">
      <alignment wrapText="1"/>
      <protection locked="0"/>
    </xf>
    <xf numFmtId="164" fontId="0" fillId="0" borderId="47" xfId="0" applyNumberFormat="1" applyBorder="1" applyAlignment="1" applyProtection="1">
      <alignment wrapText="1"/>
      <protection locked="0"/>
    </xf>
    <xf numFmtId="164" fontId="0" fillId="0" borderId="46" xfId="0" applyNumberFormat="1" applyBorder="1" applyAlignment="1" applyProtection="1">
      <alignment wrapText="1"/>
      <protection locked="0"/>
    </xf>
    <xf numFmtId="164" fontId="8" fillId="7" borderId="83" xfId="1" applyNumberFormat="1" applyFill="1" applyBorder="1" applyAlignment="1">
      <alignment wrapText="1"/>
    </xf>
    <xf numFmtId="0" fontId="0" fillId="0" borderId="84" xfId="0" applyBorder="1" applyAlignment="1" applyProtection="1">
      <alignment wrapText="1"/>
      <protection locked="0"/>
    </xf>
    <xf numFmtId="0" fontId="0" fillId="0" borderId="84" xfId="0" applyBorder="1" applyAlignment="1">
      <alignment wrapText="1"/>
    </xf>
    <xf numFmtId="164" fontId="8" fillId="0" borderId="46" xfId="0" applyNumberFormat="1" applyFont="1" applyBorder="1" applyAlignment="1">
      <alignment wrapText="1"/>
    </xf>
    <xf numFmtId="164" fontId="0" fillId="0" borderId="78" xfId="0" applyNumberFormat="1" applyBorder="1" applyAlignment="1">
      <alignment horizontal="left" indent="1"/>
    </xf>
    <xf numFmtId="164" fontId="1" fillId="0" borderId="46" xfId="0" applyNumberFormat="1" applyFont="1" applyBorder="1" applyAlignment="1">
      <alignment horizontal="right" indent="1"/>
    </xf>
    <xf numFmtId="164" fontId="8" fillId="0" borderId="46" xfId="1" applyNumberFormat="1" applyBorder="1" applyAlignment="1">
      <alignment horizontal="right" indent="1"/>
    </xf>
    <xf numFmtId="0" fontId="23" fillId="0" borderId="52" xfId="0" applyFont="1" applyBorder="1" applyAlignment="1">
      <alignment vertical="top" wrapText="1"/>
    </xf>
    <xf numFmtId="0" fontId="23" fillId="0" borderId="83" xfId="0" applyFont="1" applyBorder="1" applyAlignment="1">
      <alignment vertical="top" wrapText="1"/>
    </xf>
    <xf numFmtId="0" fontId="23" fillId="0" borderId="85" xfId="0" applyFont="1" applyBorder="1" applyAlignment="1">
      <alignment vertical="top" wrapText="1"/>
    </xf>
    <xf numFmtId="0" fontId="23" fillId="0" borderId="85" xfId="0" applyFont="1" applyBorder="1" applyAlignment="1">
      <alignment horizontal="center" vertical="top" wrapText="1"/>
    </xf>
    <xf numFmtId="0" fontId="6" fillId="4" borderId="85" xfId="0" applyFont="1" applyFill="1" applyBorder="1" applyAlignment="1" applyProtection="1">
      <alignment horizontal="left" vertical="top"/>
      <protection locked="0"/>
    </xf>
    <xf numFmtId="8" fontId="28" fillId="0" borderId="85" xfId="0" applyNumberFormat="1" applyFont="1" applyBorder="1" applyAlignment="1">
      <alignment horizontal="right" vertical="top"/>
    </xf>
    <xf numFmtId="164" fontId="1" fillId="0" borderId="79" xfId="0" applyNumberFormat="1" applyFont="1" applyBorder="1" applyAlignment="1">
      <alignment horizontal="left"/>
    </xf>
    <xf numFmtId="164" fontId="22" fillId="0" borderId="80" xfId="0" applyNumberFormat="1" applyFont="1" applyBorder="1" applyAlignment="1">
      <alignment horizontal="right"/>
    </xf>
    <xf numFmtId="0" fontId="22" fillId="4" borderId="52" xfId="0" applyFont="1" applyFill="1" applyBorder="1"/>
    <xf numFmtId="0" fontId="22" fillId="4" borderId="86" xfId="0" applyFont="1" applyFill="1" applyBorder="1"/>
    <xf numFmtId="0" fontId="22" fillId="6" borderId="86" xfId="0" applyFont="1" applyFill="1" applyBorder="1"/>
    <xf numFmtId="0" fontId="22" fillId="6" borderId="85" xfId="0" applyFont="1" applyFill="1" applyBorder="1"/>
    <xf numFmtId="0" fontId="23" fillId="0" borderId="52" xfId="0" applyFont="1" applyBorder="1" applyAlignment="1">
      <alignment horizontal="center" wrapText="1"/>
    </xf>
    <xf numFmtId="0" fontId="23" fillId="0" borderId="86" xfId="0" applyFont="1" applyBorder="1" applyAlignment="1">
      <alignment horizontal="center" wrapText="1"/>
    </xf>
    <xf numFmtId="0" fontId="23" fillId="0" borderId="85" xfId="0" applyFont="1" applyBorder="1" applyAlignment="1">
      <alignment horizontal="center" wrapText="1"/>
    </xf>
    <xf numFmtId="164" fontId="0" fillId="0" borderId="87" xfId="0" applyNumberFormat="1" applyBorder="1" applyProtection="1">
      <protection locked="0"/>
    </xf>
    <xf numFmtId="164" fontId="24" fillId="4" borderId="86" xfId="0" applyNumberFormat="1" applyFont="1" applyFill="1" applyBorder="1"/>
    <xf numFmtId="164" fontId="24" fillId="6" borderId="86" xfId="0" applyNumberFormat="1" applyFont="1" applyFill="1" applyBorder="1"/>
    <xf numFmtId="164" fontId="23" fillId="0" borderId="87" xfId="0" applyNumberFormat="1" applyFont="1" applyBorder="1" applyProtection="1">
      <protection locked="0"/>
    </xf>
    <xf numFmtId="164" fontId="23" fillId="0" borderId="48" xfId="0" applyNumberFormat="1" applyFont="1" applyBorder="1" applyProtection="1">
      <protection locked="0"/>
    </xf>
    <xf numFmtId="164" fontId="23" fillId="0" borderId="87" xfId="0" applyNumberFormat="1" applyFont="1" applyBorder="1"/>
    <xf numFmtId="164" fontId="24" fillId="6" borderId="85" xfId="0" applyNumberFormat="1" applyFont="1" applyFill="1" applyBorder="1"/>
    <xf numFmtId="0" fontId="23" fillId="0" borderId="86" xfId="0" applyFont="1" applyBorder="1" applyAlignment="1">
      <alignment vertical="top" wrapText="1"/>
    </xf>
    <xf numFmtId="164" fontId="8" fillId="4" borderId="86" xfId="0" applyNumberFormat="1" applyFont="1" applyFill="1" applyBorder="1"/>
    <xf numFmtId="164" fontId="8" fillId="6" borderId="86" xfId="0" applyNumberFormat="1" applyFont="1" applyFill="1" applyBorder="1"/>
    <xf numFmtId="0" fontId="0" fillId="0" borderId="92" xfId="0" applyBorder="1" applyAlignment="1">
      <alignment vertical="center"/>
    </xf>
    <xf numFmtId="0" fontId="0" fillId="0" borderId="93" xfId="0" applyBorder="1" applyAlignment="1">
      <alignment vertical="center"/>
    </xf>
    <xf numFmtId="0" fontId="38" fillId="0" borderId="79" xfId="0" applyFont="1" applyBorder="1" applyAlignment="1">
      <alignment horizontal="center" vertical="center"/>
    </xf>
    <xf numFmtId="0" fontId="38" fillId="0" borderId="94" xfId="0" applyFont="1" applyBorder="1" applyAlignment="1">
      <alignment horizontal="center" vertical="center"/>
    </xf>
    <xf numFmtId="0" fontId="39" fillId="0" borderId="81" xfId="0" applyFont="1" applyBorder="1" applyAlignment="1">
      <alignment horizontal="center" vertical="center"/>
    </xf>
    <xf numFmtId="0" fontId="38" fillId="0" borderId="95" xfId="0" applyFont="1" applyBorder="1" applyAlignment="1">
      <alignment horizontal="center" vertical="center"/>
    </xf>
    <xf numFmtId="0" fontId="39" fillId="0" borderId="96" xfId="0" applyFont="1" applyBorder="1" applyAlignment="1">
      <alignment horizontal="center" vertical="center"/>
    </xf>
    <xf numFmtId="171" fontId="0" fillId="0" borderId="0" xfId="0" applyNumberFormat="1" applyAlignment="1">
      <alignment vertical="center"/>
    </xf>
    <xf numFmtId="0" fontId="1" fillId="0" borderId="0" xfId="0" applyFont="1" applyAlignment="1">
      <alignment horizontal="center" vertical="center"/>
    </xf>
    <xf numFmtId="0" fontId="0" fillId="0" borderId="5" xfId="0" applyBorder="1" applyAlignment="1">
      <alignment vertical="center"/>
    </xf>
    <xf numFmtId="0" fontId="38" fillId="0" borderId="14" xfId="0" applyFont="1" applyBorder="1" applyAlignment="1">
      <alignment horizontal="center" vertical="center"/>
    </xf>
    <xf numFmtId="0" fontId="38" fillId="0" borderId="4" xfId="0" applyFont="1" applyBorder="1" applyAlignment="1">
      <alignment horizontal="center" vertical="center"/>
    </xf>
    <xf numFmtId="0" fontId="40" fillId="0" borderId="25" xfId="0" applyFont="1" applyBorder="1" applyAlignment="1">
      <alignment horizontal="center" vertical="center"/>
    </xf>
    <xf numFmtId="0" fontId="40" fillId="0" borderId="4" xfId="0" applyFont="1" applyBorder="1" applyAlignment="1">
      <alignment horizontal="center" vertical="center"/>
    </xf>
    <xf numFmtId="0" fontId="39" fillId="0" borderId="16" xfId="0" applyFont="1" applyBorder="1" applyAlignment="1">
      <alignment horizontal="center" vertical="center"/>
    </xf>
    <xf numFmtId="0" fontId="39" fillId="0" borderId="15" xfId="0" applyFont="1" applyBorder="1" applyAlignment="1">
      <alignment horizontal="center" vertical="center"/>
    </xf>
    <xf numFmtId="0" fontId="1" fillId="0" borderId="97" xfId="0" applyFont="1" applyBorder="1" applyAlignment="1">
      <alignment vertical="center"/>
    </xf>
    <xf numFmtId="0" fontId="1" fillId="0" borderId="98" xfId="0" applyFont="1" applyBorder="1" applyAlignment="1">
      <alignment vertical="center"/>
    </xf>
    <xf numFmtId="14" fontId="41" fillId="0" borderId="41" xfId="0" applyNumberFormat="1" applyFont="1" applyBorder="1" applyAlignment="1">
      <alignment horizontal="center" vertical="center" wrapText="1"/>
    </xf>
    <xf numFmtId="14" fontId="41" fillId="0" borderId="99" xfId="0" applyNumberFormat="1" applyFont="1" applyBorder="1" applyAlignment="1">
      <alignment horizontal="center" vertical="center" wrapText="1"/>
    </xf>
    <xf numFmtId="14" fontId="39" fillId="0" borderId="42" xfId="0" applyNumberFormat="1" applyFont="1" applyBorder="1" applyAlignment="1">
      <alignment horizontal="center" vertical="center"/>
    </xf>
    <xf numFmtId="14" fontId="41" fillId="0" borderId="100" xfId="0" applyNumberFormat="1" applyFont="1" applyBorder="1" applyAlignment="1">
      <alignment horizontal="center" vertical="center" wrapText="1"/>
    </xf>
    <xf numFmtId="14" fontId="39" fillId="0" borderId="23" xfId="0" applyNumberFormat="1" applyFont="1" applyBorder="1" applyAlignment="1">
      <alignment horizontal="center" vertical="center"/>
    </xf>
    <xf numFmtId="0" fontId="36" fillId="17" borderId="90" xfId="0" applyFont="1" applyFill="1" applyBorder="1" applyAlignment="1">
      <alignment vertical="center"/>
    </xf>
    <xf numFmtId="0" fontId="42" fillId="17" borderId="101" xfId="0" applyFont="1" applyFill="1" applyBorder="1" applyAlignment="1">
      <alignment vertical="center"/>
    </xf>
    <xf numFmtId="164" fontId="43" fillId="17" borderId="102" xfId="0" applyNumberFormat="1" applyFont="1" applyFill="1" applyBorder="1" applyAlignment="1">
      <alignment horizontal="center" vertical="center" wrapText="1"/>
    </xf>
    <xf numFmtId="164" fontId="43" fillId="17" borderId="100" xfId="0" applyNumberFormat="1" applyFont="1" applyFill="1" applyBorder="1" applyAlignment="1">
      <alignment horizontal="center" vertical="center" wrapText="1"/>
    </xf>
    <xf numFmtId="164" fontId="42" fillId="17" borderId="73" xfId="0" applyNumberFormat="1" applyFont="1" applyFill="1" applyBorder="1" applyAlignment="1">
      <alignment horizontal="center" vertical="center" wrapText="1"/>
    </xf>
    <xf numFmtId="164" fontId="43" fillId="17" borderId="103" xfId="0" applyNumberFormat="1" applyFont="1" applyFill="1" applyBorder="1" applyAlignment="1">
      <alignment horizontal="center" vertical="center" wrapText="1"/>
    </xf>
    <xf numFmtId="164" fontId="42" fillId="17" borderId="90" xfId="0" applyNumberFormat="1" applyFont="1" applyFill="1" applyBorder="1" applyAlignment="1">
      <alignment horizontal="center" vertical="center" wrapText="1"/>
    </xf>
    <xf numFmtId="171" fontId="1" fillId="0" borderId="0" xfId="0" applyNumberFormat="1" applyFont="1" applyAlignment="1">
      <alignment vertical="center"/>
    </xf>
    <xf numFmtId="0" fontId="0" fillId="0" borderId="0" xfId="0" applyAlignment="1">
      <alignment horizontal="center" vertical="center"/>
    </xf>
    <xf numFmtId="0" fontId="1" fillId="0" borderId="0" xfId="0" applyFont="1" applyAlignment="1">
      <alignment vertical="center"/>
    </xf>
    <xf numFmtId="0" fontId="42" fillId="0" borderId="90" xfId="0" applyFont="1" applyBorder="1" applyAlignment="1">
      <alignment vertical="center"/>
    </xf>
    <xf numFmtId="164" fontId="43" fillId="17" borderId="18" xfId="0" applyNumberFormat="1" applyFont="1" applyFill="1" applyBorder="1" applyAlignment="1">
      <alignment horizontal="center" vertical="center" wrapText="1"/>
    </xf>
    <xf numFmtId="164" fontId="13" fillId="17" borderId="19" xfId="0" applyNumberFormat="1" applyFont="1" applyFill="1" applyBorder="1" applyAlignment="1">
      <alignment horizontal="right" vertical="center" wrapText="1"/>
    </xf>
    <xf numFmtId="164" fontId="13" fillId="17" borderId="90" xfId="0" applyNumberFormat="1" applyFont="1" applyFill="1" applyBorder="1" applyAlignment="1">
      <alignment horizontal="right" vertical="center" wrapText="1"/>
    </xf>
    <xf numFmtId="0" fontId="13" fillId="18" borderId="90" xfId="0" applyFont="1" applyFill="1" applyBorder="1" applyAlignment="1">
      <alignment vertical="center"/>
    </xf>
    <xf numFmtId="0" fontId="13" fillId="18" borderId="101" xfId="0" applyFont="1" applyFill="1" applyBorder="1" applyAlignment="1">
      <alignment vertical="center"/>
    </xf>
    <xf numFmtId="164" fontId="43" fillId="18" borderId="18" xfId="0" applyNumberFormat="1" applyFont="1" applyFill="1" applyBorder="1" applyAlignment="1">
      <alignment horizontal="right" vertical="center" wrapText="1"/>
    </xf>
    <xf numFmtId="164" fontId="43" fillId="18" borderId="103" xfId="0" applyNumberFormat="1" applyFont="1" applyFill="1" applyBorder="1" applyAlignment="1">
      <alignment horizontal="right" vertical="center" wrapText="1"/>
    </xf>
    <xf numFmtId="164" fontId="13" fillId="18" borderId="19" xfId="0" applyNumberFormat="1" applyFont="1" applyFill="1" applyBorder="1" applyAlignment="1">
      <alignment horizontal="right" vertical="center" wrapText="1"/>
    </xf>
    <xf numFmtId="164" fontId="13" fillId="18" borderId="90" xfId="0" applyNumberFormat="1" applyFont="1" applyFill="1" applyBorder="1" applyAlignment="1">
      <alignment horizontal="right" vertical="center" wrapText="1"/>
    </xf>
    <xf numFmtId="0" fontId="0" fillId="18" borderId="90" xfId="0" applyFill="1" applyBorder="1" applyAlignment="1">
      <alignment vertical="center"/>
    </xf>
    <xf numFmtId="0" fontId="0" fillId="18" borderId="101" xfId="0" applyFill="1" applyBorder="1" applyAlignment="1">
      <alignment vertical="center"/>
    </xf>
    <xf numFmtId="164" fontId="43" fillId="18" borderId="18" xfId="0" applyNumberFormat="1" applyFont="1" applyFill="1" applyBorder="1" applyAlignment="1">
      <alignment horizontal="right" vertical="center"/>
    </xf>
    <xf numFmtId="164" fontId="43" fillId="18" borderId="103" xfId="0" applyNumberFormat="1" applyFont="1" applyFill="1" applyBorder="1" applyAlignment="1">
      <alignment horizontal="right" vertical="center"/>
    </xf>
    <xf numFmtId="164" fontId="37" fillId="18" borderId="19" xfId="0" applyNumberFormat="1" applyFont="1" applyFill="1" applyBorder="1" applyAlignment="1">
      <alignment horizontal="right" vertical="center"/>
    </xf>
    <xf numFmtId="164" fontId="0" fillId="18" borderId="90" xfId="0" applyNumberFormat="1" applyFill="1" applyBorder="1" applyAlignment="1">
      <alignment vertical="center"/>
    </xf>
    <xf numFmtId="164" fontId="36" fillId="18" borderId="90" xfId="0" applyNumberFormat="1" applyFont="1" applyFill="1" applyBorder="1" applyAlignment="1">
      <alignment horizontal="right" vertical="center"/>
    </xf>
    <xf numFmtId="164" fontId="0" fillId="18" borderId="90" xfId="0" applyNumberFormat="1" applyFill="1" applyBorder="1" applyAlignment="1">
      <alignment horizontal="right" vertical="center"/>
    </xf>
    <xf numFmtId="164" fontId="0" fillId="18" borderId="19" xfId="0" applyNumberFormat="1" applyFill="1" applyBorder="1" applyAlignment="1">
      <alignment horizontal="right" vertical="center"/>
    </xf>
    <xf numFmtId="0" fontId="1" fillId="17" borderId="90" xfId="0" applyFont="1" applyFill="1" applyBorder="1" applyAlignment="1">
      <alignment vertical="center"/>
    </xf>
    <xf numFmtId="0" fontId="1" fillId="17" borderId="101" xfId="0" applyFont="1" applyFill="1" applyBorder="1" applyAlignment="1">
      <alignment vertical="center"/>
    </xf>
    <xf numFmtId="164" fontId="43" fillId="17" borderId="18" xfId="0" applyNumberFormat="1" applyFont="1" applyFill="1" applyBorder="1" applyAlignment="1">
      <alignment horizontal="right" vertical="center"/>
    </xf>
    <xf numFmtId="164" fontId="43" fillId="17" borderId="103" xfId="0" applyNumberFormat="1" applyFont="1" applyFill="1" applyBorder="1" applyAlignment="1">
      <alignment horizontal="right" vertical="center"/>
    </xf>
    <xf numFmtId="164" fontId="0" fillId="17" borderId="19" xfId="0" applyNumberFormat="1" applyFill="1" applyBorder="1" applyAlignment="1">
      <alignment horizontal="right" vertical="center"/>
    </xf>
    <xf numFmtId="164" fontId="0" fillId="17" borderId="90" xfId="0" applyNumberFormat="1" applyFill="1" applyBorder="1" applyAlignment="1">
      <alignment vertical="center"/>
    </xf>
    <xf numFmtId="164" fontId="0" fillId="17" borderId="90" xfId="0" applyNumberFormat="1" applyFill="1" applyBorder="1" applyAlignment="1">
      <alignment horizontal="right" vertical="center"/>
    </xf>
    <xf numFmtId="164" fontId="13" fillId="18" borderId="19" xfId="0" applyNumberFormat="1" applyFont="1" applyFill="1" applyBorder="1" applyAlignment="1">
      <alignment horizontal="right" vertical="center"/>
    </xf>
    <xf numFmtId="164" fontId="13" fillId="18" borderId="90" xfId="0" applyNumberFormat="1" applyFont="1" applyFill="1" applyBorder="1" applyAlignment="1">
      <alignment vertical="center"/>
    </xf>
    <xf numFmtId="164" fontId="36" fillId="18" borderId="90" xfId="0" applyNumberFormat="1" applyFont="1" applyFill="1" applyBorder="1" applyAlignment="1">
      <alignment vertical="center"/>
    </xf>
    <xf numFmtId="164" fontId="13" fillId="18" borderId="90" xfId="0" applyNumberFormat="1" applyFont="1" applyFill="1" applyBorder="1" applyAlignment="1">
      <alignment horizontal="right" vertical="center"/>
    </xf>
    <xf numFmtId="164" fontId="42" fillId="18" borderId="19" xfId="0" applyNumberFormat="1" applyFont="1" applyFill="1" applyBorder="1" applyAlignment="1">
      <alignment horizontal="right" vertical="center"/>
    </xf>
    <xf numFmtId="0" fontId="1" fillId="18" borderId="90" xfId="0" applyFont="1" applyFill="1" applyBorder="1" applyAlignment="1">
      <alignment vertical="center"/>
    </xf>
    <xf numFmtId="0" fontId="1" fillId="18" borderId="101" xfId="0" applyFont="1" applyFill="1" applyBorder="1" applyAlignment="1">
      <alignment vertical="center"/>
    </xf>
    <xf numFmtId="0" fontId="42" fillId="18" borderId="90" xfId="0" applyFont="1" applyFill="1" applyBorder="1" applyAlignment="1">
      <alignment vertical="center"/>
    </xf>
    <xf numFmtId="0" fontId="42" fillId="18" borderId="101" xfId="0" applyFont="1" applyFill="1" applyBorder="1" applyAlignment="1">
      <alignment vertical="center"/>
    </xf>
    <xf numFmtId="0" fontId="0" fillId="17" borderId="101" xfId="0" applyFill="1" applyBorder="1" applyAlignment="1">
      <alignment vertical="center"/>
    </xf>
    <xf numFmtId="0" fontId="36" fillId="17" borderId="104" xfId="0" applyFont="1" applyFill="1" applyBorder="1" applyAlignment="1">
      <alignment vertical="center"/>
    </xf>
    <xf numFmtId="164" fontId="43" fillId="17" borderId="18" xfId="0" applyNumberFormat="1" applyFont="1" applyFill="1" applyBorder="1" applyAlignment="1">
      <alignment vertical="center"/>
    </xf>
    <xf numFmtId="164" fontId="43" fillId="17" borderId="103" xfId="0" applyNumberFormat="1" applyFont="1" applyFill="1" applyBorder="1" applyAlignment="1">
      <alignment vertical="center"/>
    </xf>
    <xf numFmtId="164" fontId="1" fillId="17" borderId="19" xfId="0" applyNumberFormat="1" applyFont="1" applyFill="1" applyBorder="1" applyAlignment="1">
      <alignment vertical="center"/>
    </xf>
    <xf numFmtId="164" fontId="1" fillId="17" borderId="103" xfId="0" applyNumberFormat="1" applyFont="1" applyFill="1" applyBorder="1" applyAlignment="1">
      <alignment vertical="center"/>
    </xf>
    <xf numFmtId="164" fontId="44" fillId="18" borderId="18" xfId="0" applyNumberFormat="1" applyFont="1" applyFill="1" applyBorder="1" applyAlignment="1">
      <alignment vertical="center"/>
    </xf>
    <xf numFmtId="164" fontId="44" fillId="18" borderId="103" xfId="0" applyNumberFormat="1" applyFont="1" applyFill="1" applyBorder="1" applyAlignment="1">
      <alignment vertical="center"/>
    </xf>
    <xf numFmtId="164" fontId="40" fillId="18" borderId="19" xfId="0" applyNumberFormat="1" applyFont="1" applyFill="1" applyBorder="1" applyAlignment="1">
      <alignment vertical="center"/>
    </xf>
    <xf numFmtId="164" fontId="45" fillId="18" borderId="90" xfId="0" applyNumberFormat="1" applyFont="1" applyFill="1" applyBorder="1" applyAlignment="1">
      <alignment vertical="center"/>
    </xf>
    <xf numFmtId="164" fontId="46" fillId="18" borderId="90" xfId="0" applyNumberFormat="1" applyFont="1" applyFill="1" applyBorder="1" applyAlignment="1">
      <alignment vertical="center"/>
    </xf>
    <xf numFmtId="164" fontId="43" fillId="18" borderId="18" xfId="0" applyNumberFormat="1" applyFont="1" applyFill="1" applyBorder="1" applyAlignment="1">
      <alignment vertical="center"/>
    </xf>
    <xf numFmtId="164" fontId="43" fillId="18" borderId="103" xfId="0" applyNumberFormat="1" applyFont="1" applyFill="1" applyBorder="1" applyAlignment="1">
      <alignment vertical="center"/>
    </xf>
    <xf numFmtId="164" fontId="13" fillId="18" borderId="19" xfId="0" applyNumberFormat="1" applyFont="1" applyFill="1" applyBorder="1" applyAlignment="1">
      <alignment vertical="center"/>
    </xf>
    <xf numFmtId="164" fontId="44" fillId="14" borderId="18" xfId="0" applyNumberFormat="1" applyFont="1" applyFill="1" applyBorder="1" applyAlignment="1">
      <alignment vertical="center"/>
    </xf>
    <xf numFmtId="164" fontId="44" fillId="14" borderId="103" xfId="0" applyNumberFormat="1" applyFont="1" applyFill="1" applyBorder="1" applyAlignment="1">
      <alignment vertical="center"/>
    </xf>
    <xf numFmtId="164" fontId="45" fillId="14" borderId="19" xfId="0" applyNumberFormat="1" applyFont="1" applyFill="1" applyBorder="1" applyAlignment="1">
      <alignment vertical="center"/>
    </xf>
    <xf numFmtId="164" fontId="22" fillId="17" borderId="90" xfId="0" applyNumberFormat="1" applyFont="1" applyFill="1" applyBorder="1" applyAlignment="1">
      <alignment vertical="center"/>
    </xf>
    <xf numFmtId="164" fontId="1" fillId="17" borderId="90" xfId="0" applyNumberFormat="1" applyFont="1" applyFill="1" applyBorder="1" applyAlignment="1">
      <alignment vertical="center"/>
    </xf>
    <xf numFmtId="164" fontId="39" fillId="17" borderId="90" xfId="0" applyNumberFormat="1" applyFont="1" applyFill="1" applyBorder="1" applyAlignment="1">
      <alignment vertical="center"/>
    </xf>
    <xf numFmtId="0" fontId="0" fillId="18" borderId="104" xfId="0" applyFill="1" applyBorder="1" applyAlignment="1">
      <alignment vertical="center"/>
    </xf>
    <xf numFmtId="164" fontId="0" fillId="18" borderId="19" xfId="0" applyNumberFormat="1" applyFill="1" applyBorder="1" applyAlignment="1">
      <alignment vertical="center"/>
    </xf>
    <xf numFmtId="164" fontId="0" fillId="18" borderId="103" xfId="0" applyNumberFormat="1" applyFill="1" applyBorder="1" applyAlignment="1">
      <alignment vertical="center"/>
    </xf>
    <xf numFmtId="164" fontId="1" fillId="18" borderId="103" xfId="0" applyNumberFormat="1" applyFont="1" applyFill="1" applyBorder="1" applyAlignment="1">
      <alignment vertical="center"/>
    </xf>
    <xf numFmtId="164" fontId="43" fillId="17" borderId="102" xfId="0" applyNumberFormat="1" applyFont="1" applyFill="1" applyBorder="1" applyAlignment="1">
      <alignment vertical="center"/>
    </xf>
    <xf numFmtId="164" fontId="43" fillId="17" borderId="100" xfId="0" applyNumberFormat="1" applyFont="1" applyFill="1" applyBorder="1" applyAlignment="1">
      <alignment vertical="center"/>
    </xf>
    <xf numFmtId="164" fontId="1" fillId="17" borderId="105" xfId="0" applyNumberFormat="1" applyFont="1" applyFill="1" applyBorder="1" applyAlignment="1">
      <alignment vertical="center"/>
    </xf>
    <xf numFmtId="164" fontId="22" fillId="17" borderId="23" xfId="0" applyNumberFormat="1" applyFont="1" applyFill="1" applyBorder="1" applyAlignment="1">
      <alignment vertical="center"/>
    </xf>
    <xf numFmtId="164" fontId="1" fillId="17" borderId="23" xfId="0" applyNumberFormat="1" applyFont="1" applyFill="1" applyBorder="1" applyAlignment="1">
      <alignment vertical="center"/>
    </xf>
    <xf numFmtId="164" fontId="39" fillId="17" borderId="23" xfId="0" applyNumberFormat="1" applyFont="1" applyFill="1" applyBorder="1" applyAlignment="1">
      <alignment vertical="center"/>
    </xf>
    <xf numFmtId="0" fontId="36" fillId="5" borderId="101" xfId="0" applyFont="1" applyFill="1" applyBorder="1" applyAlignment="1">
      <alignment vertical="center"/>
    </xf>
    <xf numFmtId="0" fontId="36" fillId="5" borderId="104" xfId="0" applyFont="1" applyFill="1" applyBorder="1" applyAlignment="1">
      <alignment vertical="center"/>
    </xf>
    <xf numFmtId="0" fontId="0" fillId="5" borderId="104" xfId="0" applyFill="1" applyBorder="1" applyAlignment="1">
      <alignment vertical="center"/>
    </xf>
    <xf numFmtId="164" fontId="43" fillId="5" borderId="18" xfId="0" applyNumberFormat="1" applyFont="1" applyFill="1" applyBorder="1" applyAlignment="1">
      <alignment vertical="center"/>
    </xf>
    <xf numFmtId="164" fontId="43" fillId="5" borderId="103" xfId="0" applyNumberFormat="1" applyFont="1" applyFill="1" applyBorder="1" applyAlignment="1">
      <alignment vertical="center"/>
    </xf>
    <xf numFmtId="164" fontId="0" fillId="5" borderId="19" xfId="0" applyNumberFormat="1" applyFill="1" applyBorder="1" applyAlignment="1">
      <alignment vertical="center"/>
    </xf>
    <xf numFmtId="164" fontId="0" fillId="5" borderId="103" xfId="0" applyNumberFormat="1" applyFill="1" applyBorder="1" applyAlignment="1">
      <alignment vertical="center"/>
    </xf>
    <xf numFmtId="0" fontId="0" fillId="10" borderId="90" xfId="0" applyFill="1" applyBorder="1" applyAlignment="1">
      <alignment vertical="center"/>
    </xf>
    <xf numFmtId="0" fontId="0" fillId="10" borderId="101" xfId="0" applyFill="1" applyBorder="1" applyAlignment="1">
      <alignment vertical="center"/>
    </xf>
    <xf numFmtId="164" fontId="43" fillId="10" borderId="18" xfId="0" applyNumberFormat="1" applyFont="1" applyFill="1" applyBorder="1" applyAlignment="1">
      <alignment vertical="center"/>
    </xf>
    <xf numFmtId="164" fontId="43" fillId="10" borderId="103" xfId="0" applyNumberFormat="1" applyFont="1" applyFill="1" applyBorder="1" applyAlignment="1">
      <alignment vertical="center"/>
    </xf>
    <xf numFmtId="164" fontId="0" fillId="10" borderId="19" xfId="0" applyNumberFormat="1" applyFill="1" applyBorder="1" applyAlignment="1">
      <alignment vertical="center"/>
    </xf>
    <xf numFmtId="164" fontId="0" fillId="10" borderId="90" xfId="0" applyNumberFormat="1" applyFill="1" applyBorder="1" applyAlignment="1">
      <alignment vertical="center"/>
    </xf>
    <xf numFmtId="164" fontId="13" fillId="10" borderId="19" xfId="0" applyNumberFormat="1" applyFont="1" applyFill="1" applyBorder="1" applyAlignment="1">
      <alignment vertical="center"/>
    </xf>
    <xf numFmtId="164" fontId="13" fillId="10" borderId="90" xfId="0" applyNumberFormat="1" applyFont="1" applyFill="1" applyBorder="1" applyAlignment="1">
      <alignment vertical="center"/>
    </xf>
    <xf numFmtId="0" fontId="1" fillId="11" borderId="90" xfId="0" applyFont="1" applyFill="1" applyBorder="1" applyAlignment="1">
      <alignment vertical="center"/>
    </xf>
    <xf numFmtId="0" fontId="1" fillId="11" borderId="101" xfId="0" applyFont="1" applyFill="1" applyBorder="1" applyAlignment="1">
      <alignment vertical="center"/>
    </xf>
    <xf numFmtId="164" fontId="43" fillId="11" borderId="18" xfId="0" applyNumberFormat="1" applyFont="1" applyFill="1" applyBorder="1" applyAlignment="1">
      <alignment vertical="center"/>
    </xf>
    <xf numFmtId="164" fontId="43" fillId="11" borderId="103" xfId="0" applyNumberFormat="1" applyFont="1" applyFill="1" applyBorder="1" applyAlignment="1">
      <alignment vertical="center"/>
    </xf>
    <xf numFmtId="164" fontId="13" fillId="11" borderId="19" xfId="0" applyNumberFormat="1" applyFont="1" applyFill="1" applyBorder="1" applyAlignment="1">
      <alignment vertical="center"/>
    </xf>
    <xf numFmtId="164" fontId="0" fillId="11" borderId="90" xfId="0" applyNumberFormat="1" applyFill="1" applyBorder="1" applyAlignment="1">
      <alignment vertical="center"/>
    </xf>
    <xf numFmtId="164" fontId="13" fillId="11" borderId="90" xfId="0" applyNumberFormat="1" applyFont="1" applyFill="1" applyBorder="1" applyAlignment="1">
      <alignment vertical="center"/>
    </xf>
    <xf numFmtId="164" fontId="36" fillId="10" borderId="90" xfId="0" applyNumberFormat="1" applyFont="1" applyFill="1" applyBorder="1" applyAlignment="1">
      <alignment vertical="center"/>
    </xf>
    <xf numFmtId="164" fontId="42" fillId="11" borderId="19" xfId="0" applyNumberFormat="1" applyFont="1" applyFill="1" applyBorder="1" applyAlignment="1">
      <alignment vertical="center"/>
    </xf>
    <xf numFmtId="164" fontId="1" fillId="11" borderId="90" xfId="0" applyNumberFormat="1" applyFont="1" applyFill="1" applyBorder="1" applyAlignment="1">
      <alignment vertical="center"/>
    </xf>
    <xf numFmtId="164" fontId="42" fillId="11" borderId="90" xfId="0" applyNumberFormat="1" applyFont="1" applyFill="1" applyBorder="1" applyAlignment="1">
      <alignment vertical="center"/>
    </xf>
    <xf numFmtId="0" fontId="42" fillId="11" borderId="90" xfId="0" applyFont="1" applyFill="1" applyBorder="1" applyAlignment="1">
      <alignment vertical="center"/>
    </xf>
    <xf numFmtId="0" fontId="42" fillId="11" borderId="101" xfId="0" applyFont="1" applyFill="1" applyBorder="1" applyAlignment="1">
      <alignment vertical="center"/>
    </xf>
    <xf numFmtId="0" fontId="0" fillId="5" borderId="0" xfId="0" applyFill="1" applyAlignment="1">
      <alignment vertical="center"/>
    </xf>
    <xf numFmtId="0" fontId="36" fillId="5" borderId="0" xfId="0" applyFont="1" applyFill="1" applyAlignment="1">
      <alignment vertical="center"/>
    </xf>
    <xf numFmtId="164" fontId="1" fillId="5" borderId="19" xfId="0" applyNumberFormat="1" applyFont="1" applyFill="1" applyBorder="1" applyAlignment="1">
      <alignment vertical="center"/>
    </xf>
    <xf numFmtId="164" fontId="1" fillId="5" borderId="90" xfId="0" applyNumberFormat="1" applyFont="1" applyFill="1" applyBorder="1" applyAlignment="1">
      <alignment vertical="center"/>
    </xf>
    <xf numFmtId="164" fontId="1" fillId="11" borderId="19" xfId="0" applyNumberFormat="1" applyFont="1" applyFill="1" applyBorder="1" applyAlignment="1">
      <alignment vertical="center"/>
    </xf>
    <xf numFmtId="164" fontId="43" fillId="10" borderId="109" xfId="0" applyNumberFormat="1" applyFont="1" applyFill="1" applyBorder="1" applyAlignment="1">
      <alignment vertical="center"/>
    </xf>
    <xf numFmtId="172" fontId="49" fillId="10" borderId="111" xfId="10" applyNumberFormat="1" applyFont="1" applyFill="1" applyBorder="1"/>
    <xf numFmtId="0" fontId="48" fillId="10" borderId="112" xfId="9" applyFill="1" applyBorder="1" applyAlignment="1">
      <alignment vertical="center"/>
    </xf>
    <xf numFmtId="164" fontId="43" fillId="10" borderId="113" xfId="0" applyNumberFormat="1" applyFont="1" applyFill="1" applyBorder="1" applyAlignment="1">
      <alignment vertical="center"/>
    </xf>
    <xf numFmtId="172" fontId="49" fillId="10" borderId="115" xfId="10" applyNumberFormat="1" applyFont="1" applyFill="1" applyBorder="1"/>
    <xf numFmtId="164" fontId="43" fillId="10" borderId="119" xfId="0" applyNumberFormat="1" applyFont="1" applyFill="1" applyBorder="1" applyAlignment="1">
      <alignment vertical="center"/>
    </xf>
    <xf numFmtId="172" fontId="49" fillId="10" borderId="121" xfId="10" applyNumberFormat="1" applyFont="1" applyFill="1" applyBorder="1"/>
    <xf numFmtId="172" fontId="49" fillId="10" borderId="90" xfId="10" applyNumberFormat="1" applyFont="1" applyFill="1" applyBorder="1"/>
    <xf numFmtId="172" fontId="50" fillId="10" borderId="90" xfId="10" applyNumberFormat="1" applyFont="1" applyFill="1" applyBorder="1"/>
    <xf numFmtId="164" fontId="0" fillId="11" borderId="19" xfId="0" applyNumberFormat="1" applyFill="1" applyBorder="1" applyAlignment="1">
      <alignment vertical="center"/>
    </xf>
    <xf numFmtId="164" fontId="36" fillId="11" borderId="90" xfId="0" applyNumberFormat="1" applyFont="1" applyFill="1" applyBorder="1" applyAlignment="1">
      <alignment vertical="center"/>
    </xf>
    <xf numFmtId="164" fontId="37" fillId="11" borderId="90" xfId="0" applyNumberFormat="1" applyFont="1" applyFill="1" applyBorder="1" applyAlignment="1">
      <alignment vertical="center"/>
    </xf>
    <xf numFmtId="0" fontId="13" fillId="10" borderId="90" xfId="0" applyFont="1" applyFill="1" applyBorder="1" applyAlignment="1">
      <alignment vertical="center"/>
    </xf>
    <xf numFmtId="171" fontId="51" fillId="0" borderId="0" xfId="0" applyNumberFormat="1" applyFont="1" applyAlignment="1">
      <alignment vertical="center"/>
    </xf>
    <xf numFmtId="0" fontId="51" fillId="0" borderId="0" xfId="0" applyFont="1" applyAlignment="1">
      <alignment vertical="center"/>
    </xf>
    <xf numFmtId="0" fontId="1" fillId="10" borderId="90" xfId="0" applyFont="1" applyFill="1" applyBorder="1" applyAlignment="1">
      <alignment vertical="center"/>
    </xf>
    <xf numFmtId="164" fontId="0" fillId="10" borderId="103" xfId="0" applyNumberFormat="1" applyFill="1" applyBorder="1" applyAlignment="1">
      <alignment vertical="center"/>
    </xf>
    <xf numFmtId="0" fontId="0" fillId="5" borderId="101" xfId="0" applyFill="1" applyBorder="1" applyAlignment="1">
      <alignment vertical="center"/>
    </xf>
    <xf numFmtId="164" fontId="1" fillId="5" borderId="103" xfId="0" applyNumberFormat="1" applyFont="1" applyFill="1" applyBorder="1" applyAlignment="1">
      <alignment vertical="center"/>
    </xf>
    <xf numFmtId="171" fontId="13" fillId="0" borderId="0" xfId="0" applyNumberFormat="1" applyFont="1" applyAlignment="1">
      <alignment vertical="center"/>
    </xf>
    <xf numFmtId="0" fontId="0" fillId="0" borderId="90" xfId="0" applyBorder="1" applyAlignment="1">
      <alignment vertical="center"/>
    </xf>
    <xf numFmtId="0" fontId="0" fillId="0" borderId="101" xfId="0" applyBorder="1" applyAlignment="1">
      <alignment vertical="center"/>
    </xf>
    <xf numFmtId="164" fontId="43" fillId="0" borderId="18" xfId="0" applyNumberFormat="1" applyFont="1" applyBorder="1" applyAlignment="1">
      <alignment vertical="center"/>
    </xf>
    <xf numFmtId="164" fontId="43" fillId="0" borderId="103" xfId="0" applyNumberFormat="1" applyFont="1" applyBorder="1" applyAlignment="1">
      <alignment vertical="center"/>
    </xf>
    <xf numFmtId="164" fontId="0" fillId="0" borderId="19" xfId="0" applyNumberFormat="1" applyBorder="1" applyAlignment="1">
      <alignment vertical="center"/>
    </xf>
    <xf numFmtId="164" fontId="0" fillId="0" borderId="90" xfId="0" applyNumberFormat="1" applyBorder="1" applyAlignment="1">
      <alignment vertical="center"/>
    </xf>
    <xf numFmtId="164" fontId="38" fillId="5" borderId="18" xfId="0" applyNumberFormat="1" applyFont="1" applyFill="1" applyBorder="1" applyAlignment="1">
      <alignment vertical="center"/>
    </xf>
    <xf numFmtId="164" fontId="38" fillId="5" borderId="103" xfId="0" applyNumberFormat="1" applyFont="1" applyFill="1" applyBorder="1" applyAlignment="1">
      <alignment vertical="center"/>
    </xf>
    <xf numFmtId="164" fontId="39" fillId="5" borderId="19" xfId="0" applyNumberFormat="1" applyFont="1" applyFill="1" applyBorder="1" applyAlignment="1">
      <alignment vertical="center"/>
    </xf>
    <xf numFmtId="164" fontId="22" fillId="5" borderId="103" xfId="0" applyNumberFormat="1" applyFont="1" applyFill="1" applyBorder="1" applyAlignment="1">
      <alignment vertical="center"/>
    </xf>
    <xf numFmtId="164" fontId="39" fillId="5" borderId="103" xfId="0" applyNumberFormat="1" applyFont="1" applyFill="1" applyBorder="1" applyAlignment="1">
      <alignment vertical="center"/>
    </xf>
    <xf numFmtId="0" fontId="36" fillId="18" borderId="104" xfId="0" applyFont="1" applyFill="1" applyBorder="1" applyAlignment="1">
      <alignment vertical="center"/>
    </xf>
    <xf numFmtId="164" fontId="38" fillId="18" borderId="18" xfId="0" applyNumberFormat="1" applyFont="1" applyFill="1" applyBorder="1" applyAlignment="1">
      <alignment vertical="center"/>
    </xf>
    <xf numFmtId="164" fontId="38" fillId="18" borderId="103" xfId="0" applyNumberFormat="1" applyFont="1" applyFill="1" applyBorder="1" applyAlignment="1">
      <alignment vertical="center"/>
    </xf>
    <xf numFmtId="164" fontId="39" fillId="18" borderId="19" xfId="0" applyNumberFormat="1" applyFont="1" applyFill="1" applyBorder="1" applyAlignment="1">
      <alignment vertical="center"/>
    </xf>
    <xf numFmtId="164" fontId="22" fillId="18" borderId="103" xfId="0" applyNumberFormat="1" applyFont="1" applyFill="1" applyBorder="1" applyAlignment="1">
      <alignment vertical="center"/>
    </xf>
    <xf numFmtId="164" fontId="39" fillId="18" borderId="103" xfId="0" applyNumberFormat="1" applyFont="1" applyFill="1" applyBorder="1" applyAlignment="1">
      <alignment vertical="center"/>
    </xf>
    <xf numFmtId="40" fontId="0" fillId="12" borderId="101" xfId="0" applyNumberFormat="1" applyFill="1" applyBorder="1" applyAlignment="1">
      <alignment vertical="center"/>
    </xf>
    <xf numFmtId="40" fontId="1" fillId="12" borderId="104" xfId="0" applyNumberFormat="1" applyFont="1" applyFill="1" applyBorder="1" applyAlignment="1">
      <alignment vertical="center"/>
    </xf>
    <xf numFmtId="40" fontId="43" fillId="12" borderId="18" xfId="0" applyNumberFormat="1" applyFont="1" applyFill="1" applyBorder="1" applyAlignment="1">
      <alignment vertical="center"/>
    </xf>
    <xf numFmtId="40" fontId="43" fillId="12" borderId="103" xfId="0" applyNumberFormat="1" applyFont="1" applyFill="1" applyBorder="1" applyAlignment="1">
      <alignment vertical="center"/>
    </xf>
    <xf numFmtId="40" fontId="42" fillId="12" borderId="19" xfId="0" applyNumberFormat="1" applyFont="1" applyFill="1" applyBorder="1" applyAlignment="1">
      <alignment vertical="center"/>
    </xf>
    <xf numFmtId="40" fontId="1" fillId="12" borderId="90" xfId="0" applyNumberFormat="1" applyFont="1" applyFill="1" applyBorder="1" applyAlignment="1">
      <alignment vertical="center"/>
    </xf>
    <xf numFmtId="40" fontId="42" fillId="12" borderId="90" xfId="0" applyNumberFormat="1" applyFont="1" applyFill="1" applyBorder="1" applyAlignment="1">
      <alignment vertical="center"/>
    </xf>
    <xf numFmtId="40" fontId="0" fillId="0" borderId="0" xfId="0" applyNumberFormat="1" applyAlignment="1">
      <alignment vertical="center"/>
    </xf>
    <xf numFmtId="164" fontId="43" fillId="0" borderId="24" xfId="0" applyNumberFormat="1" applyFont="1" applyBorder="1" applyAlignment="1">
      <alignment vertical="center"/>
    </xf>
    <xf numFmtId="164" fontId="43" fillId="0" borderId="0" xfId="0" applyNumberFormat="1" applyFont="1" applyAlignment="1">
      <alignment vertical="center"/>
    </xf>
    <xf numFmtId="164" fontId="0" fillId="0" borderId="25" xfId="0" applyNumberFormat="1" applyBorder="1" applyAlignment="1">
      <alignment vertical="center"/>
    </xf>
    <xf numFmtId="164" fontId="0" fillId="0" borderId="0" xfId="0" applyNumberFormat="1" applyAlignment="1">
      <alignment vertical="center"/>
    </xf>
    <xf numFmtId="0" fontId="0" fillId="0" borderId="0" xfId="0" applyAlignment="1">
      <alignment horizontal="left" vertical="center"/>
    </xf>
    <xf numFmtId="0" fontId="43" fillId="0" borderId="24" xfId="0" applyFont="1" applyBorder="1" applyAlignment="1">
      <alignment horizontal="center" vertical="center"/>
    </xf>
    <xf numFmtId="0" fontId="43" fillId="0" borderId="0" xfId="0" applyFont="1" applyAlignment="1">
      <alignment horizontal="center" vertical="center"/>
    </xf>
    <xf numFmtId="0" fontId="0" fillId="0" borderId="25" xfId="0" applyBorder="1" applyAlignment="1">
      <alignment vertical="center"/>
    </xf>
    <xf numFmtId="0" fontId="54" fillId="0" borderId="0" xfId="0" applyFont="1" applyAlignment="1">
      <alignment horizontal="right" vertical="center"/>
    </xf>
    <xf numFmtId="0" fontId="55" fillId="0" borderId="0" xfId="0" applyFont="1" applyAlignment="1">
      <alignment horizontal="right" vertical="center"/>
    </xf>
    <xf numFmtId="164" fontId="43" fillId="0" borderId="24" xfId="0" applyNumberFormat="1" applyFont="1" applyBorder="1" applyAlignment="1" applyProtection="1">
      <alignment vertical="center"/>
      <protection locked="0"/>
    </xf>
    <xf numFmtId="164" fontId="43" fillId="0" borderId="0" xfId="0" applyNumberFormat="1" applyFont="1" applyAlignment="1" applyProtection="1">
      <alignment vertical="center"/>
      <protection locked="0"/>
    </xf>
    <xf numFmtId="164" fontId="13" fillId="0" borderId="25" xfId="0" applyNumberFormat="1" applyFont="1" applyBorder="1" applyAlignment="1" applyProtection="1">
      <alignment vertical="center"/>
      <protection locked="0"/>
    </xf>
    <xf numFmtId="164" fontId="45" fillId="0" borderId="0" xfId="0" applyNumberFormat="1" applyFont="1" applyAlignment="1">
      <alignment vertical="center"/>
    </xf>
    <xf numFmtId="164" fontId="13" fillId="0" borderId="0" xfId="0" applyNumberFormat="1" applyFont="1" applyAlignment="1">
      <alignment vertical="center"/>
    </xf>
    <xf numFmtId="164" fontId="13" fillId="0" borderId="0" xfId="0" applyNumberFormat="1" applyFont="1" applyAlignment="1" applyProtection="1">
      <alignment vertical="center"/>
      <protection locked="0"/>
    </xf>
    <xf numFmtId="0" fontId="56" fillId="0" borderId="0" xfId="0" applyFont="1" applyAlignment="1">
      <alignment horizontal="right" vertical="center"/>
    </xf>
    <xf numFmtId="164" fontId="57" fillId="0" borderId="0" xfId="0" applyNumberFormat="1" applyFont="1" applyAlignment="1" applyProtection="1">
      <alignment vertical="center"/>
      <protection locked="0"/>
    </xf>
    <xf numFmtId="164" fontId="57" fillId="0" borderId="24" xfId="0" applyNumberFormat="1" applyFont="1" applyBorder="1" applyAlignment="1">
      <alignment vertical="center"/>
    </xf>
    <xf numFmtId="164" fontId="57" fillId="0" borderId="0" xfId="0" applyNumberFormat="1" applyFont="1" applyAlignment="1">
      <alignment vertical="center"/>
    </xf>
    <xf numFmtId="164" fontId="42" fillId="0" borderId="25" xfId="0" applyNumberFormat="1" applyFont="1" applyBorder="1" applyAlignment="1">
      <alignment vertical="center"/>
    </xf>
    <xf numFmtId="164" fontId="58" fillId="0" borderId="0" xfId="0" applyNumberFormat="1" applyFont="1" applyAlignment="1">
      <alignment vertical="center"/>
    </xf>
    <xf numFmtId="164" fontId="42" fillId="0" borderId="0" xfId="0" applyNumberFormat="1" applyFont="1" applyAlignment="1">
      <alignment vertical="center"/>
    </xf>
    <xf numFmtId="164" fontId="57" fillId="0" borderId="24" xfId="0" applyNumberFormat="1" applyFont="1" applyBorder="1" applyAlignment="1" applyProtection="1">
      <alignment vertical="center"/>
      <protection locked="0"/>
    </xf>
    <xf numFmtId="0" fontId="13" fillId="0" borderId="0" xfId="0" applyFont="1" applyAlignment="1">
      <alignment vertical="center"/>
    </xf>
    <xf numFmtId="164" fontId="13" fillId="0" borderId="25" xfId="0" applyNumberFormat="1" applyFont="1" applyBorder="1" applyAlignment="1">
      <alignment vertical="center"/>
    </xf>
    <xf numFmtId="164" fontId="59" fillId="0" borderId="0" xfId="0" applyNumberFormat="1" applyFont="1" applyAlignment="1">
      <alignment vertical="center"/>
    </xf>
    <xf numFmtId="164" fontId="0" fillId="0" borderId="25" xfId="0" applyNumberFormat="1" applyBorder="1" applyAlignment="1" applyProtection="1">
      <alignment vertical="center"/>
      <protection locked="0"/>
    </xf>
    <xf numFmtId="164" fontId="0" fillId="0" borderId="0" xfId="0" applyNumberFormat="1" applyAlignment="1" applyProtection="1">
      <alignment vertical="center"/>
      <protection locked="0"/>
    </xf>
    <xf numFmtId="0" fontId="57" fillId="0" borderId="24" xfId="0" applyFont="1" applyBorder="1" applyAlignment="1">
      <alignment vertical="center"/>
    </xf>
    <xf numFmtId="0" fontId="57" fillId="0" borderId="0" xfId="0" applyFont="1" applyAlignment="1">
      <alignment vertical="center"/>
    </xf>
    <xf numFmtId="164" fontId="57" fillId="0" borderId="24" xfId="0" applyNumberFormat="1" applyFont="1" applyBorder="1" applyAlignment="1">
      <alignment horizontal="center" vertical="center"/>
    </xf>
    <xf numFmtId="164" fontId="57" fillId="0" borderId="0" xfId="0" applyNumberFormat="1" applyFont="1" applyAlignment="1">
      <alignment horizontal="center" vertical="center"/>
    </xf>
    <xf numFmtId="164" fontId="1" fillId="0" borderId="25" xfId="0" applyNumberFormat="1" applyFont="1" applyBorder="1" applyAlignment="1">
      <alignment vertical="center"/>
    </xf>
    <xf numFmtId="164" fontId="1" fillId="0" borderId="0" xfId="0" applyNumberFormat="1" applyFont="1" applyAlignment="1">
      <alignment vertical="center"/>
    </xf>
    <xf numFmtId="0" fontId="60" fillId="0" borderId="0" xfId="0" applyFont="1" applyAlignment="1">
      <alignment horizontal="right" vertical="center" wrapText="1"/>
    </xf>
    <xf numFmtId="164" fontId="1" fillId="0" borderId="0" xfId="0" applyNumberFormat="1" applyFont="1" applyAlignment="1" applyProtection="1">
      <alignment vertical="center"/>
      <protection locked="0"/>
    </xf>
    <xf numFmtId="0" fontId="23" fillId="0" borderId="0" xfId="0" quotePrefix="1" applyFont="1" applyAlignment="1">
      <alignment horizontal="right" vertical="center"/>
    </xf>
    <xf numFmtId="164" fontId="57" fillId="0" borderId="24" xfId="0" quotePrefix="1" applyNumberFormat="1" applyFont="1" applyBorder="1" applyAlignment="1">
      <alignment vertical="center"/>
    </xf>
    <xf numFmtId="164" fontId="57" fillId="0" borderId="0" xfId="0" quotePrefix="1" applyNumberFormat="1" applyFont="1" applyAlignment="1">
      <alignment vertical="center"/>
    </xf>
    <xf numFmtId="0" fontId="55" fillId="0" borderId="0" xfId="0" applyFont="1" applyAlignment="1">
      <alignment horizontal="right" vertical="center" wrapText="1"/>
    </xf>
    <xf numFmtId="164" fontId="61" fillId="0" borderId="0" xfId="0" applyNumberFormat="1" applyFont="1" applyAlignment="1">
      <alignment vertical="center"/>
    </xf>
    <xf numFmtId="49" fontId="22" fillId="0" borderId="0" xfId="0" applyNumberFormat="1" applyFont="1" applyAlignment="1">
      <alignment horizontal="right" vertical="center"/>
    </xf>
    <xf numFmtId="164" fontId="62" fillId="0" borderId="24" xfId="0" applyNumberFormat="1" applyFont="1" applyBorder="1" applyAlignment="1">
      <alignment vertical="center"/>
    </xf>
    <xf numFmtId="164" fontId="62" fillId="0" borderId="0" xfId="0" applyNumberFormat="1" applyFont="1" applyAlignment="1">
      <alignment vertical="center"/>
    </xf>
    <xf numFmtId="0" fontId="23" fillId="0" borderId="0" xfId="0" applyFont="1" applyAlignment="1">
      <alignment vertical="center"/>
    </xf>
    <xf numFmtId="0" fontId="43" fillId="0" borderId="24" xfId="0" applyFont="1" applyBorder="1" applyAlignment="1">
      <alignment vertical="center"/>
    </xf>
    <xf numFmtId="0" fontId="43" fillId="0" borderId="0" xfId="0" applyFont="1" applyAlignment="1">
      <alignment vertical="center"/>
    </xf>
    <xf numFmtId="0" fontId="22" fillId="0" borderId="0" xfId="0" applyFont="1" applyAlignment="1">
      <alignment horizontal="right" vertical="center"/>
    </xf>
    <xf numFmtId="164" fontId="63" fillId="0" borderId="24" xfId="0" applyNumberFormat="1" applyFont="1" applyBorder="1" applyAlignment="1">
      <alignment vertical="center"/>
    </xf>
    <xf numFmtId="164" fontId="63" fillId="0" borderId="0" xfId="0" applyNumberFormat="1" applyFont="1" applyAlignment="1">
      <alignment vertical="center"/>
    </xf>
    <xf numFmtId="164" fontId="13" fillId="0" borderId="19" xfId="0" applyNumberFormat="1" applyFont="1" applyBorder="1" applyAlignment="1">
      <alignment vertical="center"/>
    </xf>
    <xf numFmtId="164" fontId="0" fillId="0" borderId="0" xfId="0" applyNumberFormat="1" applyAlignment="1">
      <alignment horizontal="center" vertical="center"/>
    </xf>
    <xf numFmtId="0" fontId="0" fillId="0" borderId="91" xfId="0" applyBorder="1"/>
    <xf numFmtId="164" fontId="37" fillId="0" borderId="19" xfId="0" applyNumberFormat="1" applyFont="1" applyBorder="1" applyAlignment="1">
      <alignment vertical="center"/>
    </xf>
    <xf numFmtId="171" fontId="1" fillId="0" borderId="0" xfId="0" applyNumberFormat="1" applyFont="1" applyAlignment="1">
      <alignment horizontal="left" vertical="center"/>
    </xf>
    <xf numFmtId="164" fontId="43" fillId="0" borderId="114" xfId="0" applyNumberFormat="1" applyFont="1" applyBorder="1" applyAlignment="1">
      <alignment vertical="center"/>
    </xf>
    <xf numFmtId="0" fontId="48" fillId="0" borderId="112" xfId="9" applyBorder="1" applyAlignment="1">
      <alignment vertical="center"/>
    </xf>
    <xf numFmtId="0" fontId="48" fillId="0" borderId="89" xfId="9" applyBorder="1" applyAlignment="1">
      <alignment vertical="center"/>
    </xf>
    <xf numFmtId="0" fontId="48" fillId="0" borderId="90" xfId="9" applyBorder="1" applyAlignment="1">
      <alignment vertical="center"/>
    </xf>
    <xf numFmtId="0" fontId="48" fillId="0" borderId="101" xfId="9" applyBorder="1" applyAlignment="1">
      <alignment vertical="center"/>
    </xf>
    <xf numFmtId="0" fontId="48" fillId="0" borderId="113" xfId="9" applyBorder="1" applyAlignment="1">
      <alignment vertical="center"/>
    </xf>
    <xf numFmtId="0" fontId="48" fillId="0" borderId="106" xfId="9" applyBorder="1" applyAlignment="1">
      <alignment vertical="center"/>
    </xf>
    <xf numFmtId="0" fontId="48" fillId="0" borderId="107" xfId="9" applyBorder="1" applyAlignment="1">
      <alignment vertical="center"/>
    </xf>
    <xf numFmtId="164" fontId="43" fillId="0" borderId="108" xfId="0" applyNumberFormat="1" applyFont="1" applyBorder="1" applyAlignment="1">
      <alignment vertical="center"/>
    </xf>
    <xf numFmtId="164" fontId="43" fillId="0" borderId="109" xfId="0" applyNumberFormat="1" applyFont="1" applyBorder="1" applyAlignment="1">
      <alignment vertical="center"/>
    </xf>
    <xf numFmtId="164" fontId="43" fillId="0" borderId="110" xfId="0" applyNumberFormat="1" applyFont="1" applyBorder="1" applyAlignment="1">
      <alignment vertical="center"/>
    </xf>
    <xf numFmtId="164" fontId="43" fillId="0" borderId="88" xfId="0" applyNumberFormat="1" applyFont="1" applyBorder="1" applyAlignment="1">
      <alignment vertical="center"/>
    </xf>
    <xf numFmtId="164" fontId="43" fillId="0" borderId="113" xfId="0" applyNumberFormat="1" applyFont="1" applyBorder="1" applyAlignment="1">
      <alignment vertical="center"/>
    </xf>
    <xf numFmtId="0" fontId="48" fillId="0" borderId="116" xfId="9" applyBorder="1" applyAlignment="1">
      <alignment vertical="center"/>
    </xf>
    <xf numFmtId="0" fontId="48" fillId="0" borderId="117" xfId="9" applyBorder="1" applyAlignment="1">
      <alignment vertical="center"/>
    </xf>
    <xf numFmtId="164" fontId="43" fillId="0" borderId="118" xfId="0" applyNumberFormat="1" applyFont="1" applyBorder="1" applyAlignment="1">
      <alignment vertical="center"/>
    </xf>
    <xf numFmtId="164" fontId="43" fillId="0" borderId="119" xfId="0" applyNumberFormat="1" applyFont="1" applyBorder="1" applyAlignment="1">
      <alignment vertical="center"/>
    </xf>
    <xf numFmtId="164" fontId="43" fillId="0" borderId="120" xfId="0" applyNumberFormat="1" applyFont="1" applyBorder="1" applyAlignment="1">
      <alignment vertical="center"/>
    </xf>
    <xf numFmtId="0" fontId="42" fillId="0" borderId="101" xfId="0" applyFont="1" applyBorder="1" applyAlignment="1">
      <alignment vertical="center"/>
    </xf>
    <xf numFmtId="0" fontId="13" fillId="0" borderId="101" xfId="0" applyFont="1" applyBorder="1" applyAlignment="1">
      <alignment vertical="center"/>
    </xf>
    <xf numFmtId="0" fontId="1" fillId="0" borderId="90" xfId="0" applyFont="1" applyBorder="1" applyAlignment="1">
      <alignment vertical="center"/>
    </xf>
    <xf numFmtId="0" fontId="1" fillId="0" borderId="101" xfId="0" applyFont="1" applyBorder="1" applyAlignment="1">
      <alignment vertical="center"/>
    </xf>
    <xf numFmtId="164" fontId="1" fillId="0" borderId="19" xfId="0" applyNumberFormat="1" applyFont="1" applyBorder="1" applyAlignment="1">
      <alignment vertical="center"/>
    </xf>
    <xf numFmtId="164" fontId="42" fillId="0" borderId="19" xfId="0" applyNumberFormat="1" applyFont="1" applyBorder="1" applyAlignment="1">
      <alignment vertical="center"/>
    </xf>
    <xf numFmtId="0" fontId="0" fillId="0" borderId="90" xfId="0" quotePrefix="1" applyBorder="1" applyAlignment="1">
      <alignment vertical="center"/>
    </xf>
    <xf numFmtId="0" fontId="13" fillId="0" borderId="90" xfId="0" quotePrefix="1" applyFont="1" applyBorder="1" applyAlignment="1">
      <alignment vertical="center"/>
    </xf>
    <xf numFmtId="0" fontId="52" fillId="0" borderId="113" xfId="9" applyFont="1" applyBorder="1" applyAlignment="1">
      <alignment vertical="center"/>
    </xf>
    <xf numFmtId="0" fontId="52" fillId="0" borderId="89" xfId="9" applyFont="1" applyBorder="1" applyAlignment="1">
      <alignment vertical="center"/>
    </xf>
    <xf numFmtId="0" fontId="53" fillId="0" borderId="101" xfId="0" applyFont="1" applyBorder="1" applyAlignment="1">
      <alignment vertical="center"/>
    </xf>
    <xf numFmtId="164" fontId="42" fillId="0" borderId="0" xfId="0" applyNumberFormat="1" applyFont="1"/>
    <xf numFmtId="0" fontId="0" fillId="0" borderId="27" xfId="0" applyBorder="1"/>
    <xf numFmtId="0" fontId="0" fillId="0" borderId="87" xfId="0" applyBorder="1"/>
    <xf numFmtId="0" fontId="0" fillId="0" borderId="48" xfId="0" applyBorder="1"/>
    <xf numFmtId="0" fontId="64" fillId="0" borderId="5" xfId="0" applyFont="1" applyBorder="1" applyProtection="1">
      <protection locked="0"/>
    </xf>
    <xf numFmtId="0" fontId="64" fillId="0" borderId="1" xfId="0" applyFont="1" applyBorder="1" applyProtection="1">
      <protection locked="0"/>
    </xf>
    <xf numFmtId="0" fontId="64" fillId="0" borderId="5" xfId="0" applyFont="1" applyBorder="1" applyAlignment="1" applyProtection="1">
      <alignment wrapText="1"/>
      <protection locked="0"/>
    </xf>
    <xf numFmtId="0" fontId="13" fillId="0" borderId="0" xfId="0" applyFont="1" applyAlignment="1" applyProtection="1">
      <alignment wrapText="1"/>
      <protection locked="0"/>
    </xf>
    <xf numFmtId="0" fontId="22" fillId="6" borderId="129" xfId="0" applyFont="1" applyFill="1" applyBorder="1"/>
    <xf numFmtId="164" fontId="23" fillId="9" borderId="0" xfId="0" applyNumberFormat="1" applyFont="1" applyFill="1"/>
    <xf numFmtId="0" fontId="6" fillId="4" borderId="130" xfId="0" applyFont="1" applyFill="1" applyBorder="1" applyAlignment="1" applyProtection="1">
      <alignment horizontal="left" vertical="top"/>
      <protection locked="0"/>
    </xf>
    <xf numFmtId="0" fontId="23" fillId="0" borderId="0" xfId="0" applyFont="1" applyAlignment="1">
      <alignment vertical="top" wrapText="1"/>
    </xf>
    <xf numFmtId="0" fontId="65" fillId="0" borderId="0" xfId="0" applyFont="1" applyAlignment="1">
      <alignment vertical="top" wrapText="1"/>
    </xf>
    <xf numFmtId="0" fontId="0" fillId="0" borderId="0" xfId="0" applyAlignment="1" applyProtection="1">
      <alignment vertical="top" wrapText="1"/>
      <protection locked="0"/>
    </xf>
    <xf numFmtId="0" fontId="23" fillId="0" borderId="87" xfId="0" applyFont="1" applyBorder="1" applyAlignment="1">
      <alignment horizontal="center" wrapText="1"/>
    </xf>
    <xf numFmtId="0" fontId="23" fillId="0" borderId="48" xfId="0" applyFont="1" applyBorder="1" applyAlignment="1">
      <alignment horizontal="center" wrapText="1"/>
    </xf>
    <xf numFmtId="0" fontId="23" fillId="0" borderId="49" xfId="0" applyFont="1" applyBorder="1" applyAlignment="1">
      <alignment horizontal="center" wrapText="1"/>
    </xf>
    <xf numFmtId="164" fontId="23" fillId="6" borderId="130" xfId="0" applyNumberFormat="1" applyFont="1" applyFill="1" applyBorder="1"/>
    <xf numFmtId="0" fontId="23" fillId="0" borderId="130" xfId="0" applyFont="1" applyBorder="1" applyAlignment="1">
      <alignment horizontal="center" vertical="top" wrapText="1"/>
    </xf>
    <xf numFmtId="0" fontId="0" fillId="6" borderId="130" xfId="0" applyFill="1" applyBorder="1"/>
    <xf numFmtId="8" fontId="28" fillId="0" borderId="130" xfId="0" applyNumberFormat="1" applyFont="1" applyBorder="1" applyAlignment="1">
      <alignment horizontal="right" vertical="top"/>
    </xf>
    <xf numFmtId="8" fontId="16" fillId="0" borderId="130" xfId="0" applyNumberFormat="1" applyFont="1" applyBorder="1" applyAlignment="1">
      <alignment horizontal="right" vertical="top"/>
    </xf>
    <xf numFmtId="0" fontId="22" fillId="6" borderId="130" xfId="0" applyFont="1" applyFill="1" applyBorder="1"/>
    <xf numFmtId="0" fontId="23" fillId="0" borderId="130" xfId="0" applyFont="1" applyBorder="1" applyAlignment="1">
      <alignment horizontal="center" wrapText="1"/>
    </xf>
    <xf numFmtId="164" fontId="22" fillId="6" borderId="130" xfId="0" applyNumberFormat="1" applyFont="1" applyFill="1" applyBorder="1"/>
    <xf numFmtId="164" fontId="24" fillId="6" borderId="130" xfId="0" applyNumberFormat="1" applyFont="1" applyFill="1" applyBorder="1"/>
    <xf numFmtId="0" fontId="0" fillId="0" borderId="0" xfId="0" applyAlignment="1" applyProtection="1">
      <alignment horizontal="left" wrapText="1"/>
      <protection locked="0"/>
    </xf>
    <xf numFmtId="0" fontId="67" fillId="0" borderId="87" xfId="0" applyFont="1" applyBorder="1"/>
    <xf numFmtId="17" fontId="67" fillId="0" borderId="49" xfId="0" applyNumberFormat="1" applyFont="1" applyBorder="1"/>
    <xf numFmtId="17" fontId="67" fillId="0" borderId="82" xfId="0" applyNumberFormat="1" applyFont="1" applyBorder="1"/>
    <xf numFmtId="0" fontId="67" fillId="0" borderId="30" xfId="0" applyFont="1" applyBorder="1"/>
    <xf numFmtId="0" fontId="0" fillId="0" borderId="128" xfId="0" applyBorder="1"/>
    <xf numFmtId="0" fontId="0" fillId="0" borderId="126" xfId="0" applyBorder="1"/>
    <xf numFmtId="0" fontId="68" fillId="0" borderId="126" xfId="0" applyFont="1" applyBorder="1"/>
    <xf numFmtId="164" fontId="0" fillId="0" borderId="127" xfId="0" applyNumberFormat="1" applyBorder="1"/>
    <xf numFmtId="164" fontId="0" fillId="0" borderId="33" xfId="0" applyNumberFormat="1" applyBorder="1"/>
    <xf numFmtId="164" fontId="0" fillId="0" borderId="82" xfId="0" applyNumberFormat="1" applyBorder="1"/>
    <xf numFmtId="164" fontId="0" fillId="0" borderId="122" xfId="0" applyNumberFormat="1" applyBorder="1"/>
    <xf numFmtId="0" fontId="69" fillId="0" borderId="128" xfId="0" applyFont="1" applyBorder="1"/>
    <xf numFmtId="0" fontId="69" fillId="0" borderId="126" xfId="0" applyFont="1" applyBorder="1"/>
    <xf numFmtId="0" fontId="0" fillId="0" borderId="134" xfId="0" applyBorder="1"/>
    <xf numFmtId="0" fontId="0" fillId="0" borderId="124" xfId="0" applyBorder="1"/>
    <xf numFmtId="164" fontId="67" fillId="0" borderId="125" xfId="0" applyNumberFormat="1" applyFont="1" applyBorder="1"/>
    <xf numFmtId="164" fontId="67" fillId="0" borderId="123" xfId="0" applyNumberFormat="1" applyFont="1" applyBorder="1"/>
    <xf numFmtId="0" fontId="0" fillId="0" borderId="52" xfId="0" applyBorder="1"/>
    <xf numFmtId="0" fontId="0" fillId="0" borderId="86" xfId="0" applyBorder="1"/>
    <xf numFmtId="164" fontId="67" fillId="0" borderId="30" xfId="0" applyNumberFormat="1" applyFont="1" applyBorder="1"/>
    <xf numFmtId="164" fontId="67" fillId="0" borderId="0" xfId="0" applyNumberFormat="1" applyFont="1"/>
    <xf numFmtId="0" fontId="70" fillId="0" borderId="0" xfId="0" applyFont="1"/>
    <xf numFmtId="164" fontId="70" fillId="0" borderId="0" xfId="0" applyNumberFormat="1" applyFont="1"/>
    <xf numFmtId="0" fontId="0" fillId="0" borderId="94" xfId="0" applyBorder="1"/>
    <xf numFmtId="164" fontId="67" fillId="0" borderId="81" xfId="0" applyNumberFormat="1" applyFont="1" applyBorder="1"/>
    <xf numFmtId="0" fontId="67" fillId="0" borderId="26" xfId="0" applyFont="1" applyBorder="1"/>
    <xf numFmtId="0" fontId="0" fillId="0" borderId="99" xfId="0" applyBorder="1"/>
    <xf numFmtId="164" fontId="67" fillId="0" borderId="42" xfId="0" applyNumberFormat="1" applyFont="1" applyBorder="1"/>
    <xf numFmtId="164" fontId="1" fillId="0" borderId="136" xfId="0" applyNumberFormat="1" applyFont="1" applyBorder="1"/>
    <xf numFmtId="0" fontId="1" fillId="0" borderId="72" xfId="0" applyFont="1" applyBorder="1"/>
    <xf numFmtId="166" fontId="0" fillId="0" borderId="0" xfId="0" applyNumberFormat="1" applyAlignment="1">
      <alignment vertical="top" wrapText="1"/>
    </xf>
    <xf numFmtId="164" fontId="0" fillId="0" borderId="138" xfId="0" applyNumberFormat="1" applyBorder="1" applyProtection="1">
      <protection locked="0"/>
    </xf>
    <xf numFmtId="164" fontId="71" fillId="0" borderId="139" xfId="0" applyNumberFormat="1" applyFont="1" applyBorder="1" applyProtection="1">
      <protection locked="0"/>
    </xf>
    <xf numFmtId="164" fontId="71" fillId="0" borderId="137" xfId="0" applyNumberFormat="1" applyFont="1" applyBorder="1" applyProtection="1">
      <protection locked="0"/>
    </xf>
    <xf numFmtId="164" fontId="23" fillId="0" borderId="24" xfId="0" applyNumberFormat="1" applyFont="1" applyBorder="1" applyAlignment="1">
      <alignment horizontal="right" wrapText="1"/>
    </xf>
    <xf numFmtId="164" fontId="23" fillId="0" borderId="0" xfId="0" applyNumberFormat="1" applyFont="1" applyAlignment="1">
      <alignment horizontal="right" wrapText="1"/>
    </xf>
    <xf numFmtId="0" fontId="0" fillId="0" borderId="0" xfId="0" applyAlignment="1">
      <alignment horizontal="left" wrapText="1"/>
    </xf>
    <xf numFmtId="0" fontId="0" fillId="0" borderId="78" xfId="0" applyBorder="1" applyAlignment="1">
      <alignment horizontal="left" vertical="center" wrapText="1" indent="1"/>
    </xf>
    <xf numFmtId="164" fontId="13" fillId="18" borderId="140" xfId="0" applyNumberFormat="1" applyFont="1" applyFill="1" applyBorder="1" applyAlignment="1">
      <alignment horizontal="right" vertical="center" wrapText="1"/>
    </xf>
    <xf numFmtId="164" fontId="36" fillId="18" borderId="140" xfId="0" applyNumberFormat="1" applyFont="1" applyFill="1" applyBorder="1" applyAlignment="1">
      <alignment horizontal="right" vertical="center"/>
    </xf>
    <xf numFmtId="164" fontId="0" fillId="18" borderId="140" xfId="0" applyNumberFormat="1" applyFill="1" applyBorder="1" applyAlignment="1">
      <alignment horizontal="right" vertical="center"/>
    </xf>
    <xf numFmtId="164" fontId="0" fillId="17" borderId="140" xfId="0" applyNumberFormat="1" applyFill="1" applyBorder="1" applyAlignment="1">
      <alignment horizontal="right" vertical="center"/>
    </xf>
    <xf numFmtId="164" fontId="13" fillId="18" borderId="140" xfId="0" applyNumberFormat="1" applyFont="1" applyFill="1" applyBorder="1" applyAlignment="1">
      <alignment horizontal="right" vertical="center"/>
    </xf>
    <xf numFmtId="164" fontId="1" fillId="17" borderId="133" xfId="0" applyNumberFormat="1" applyFont="1" applyFill="1" applyBorder="1" applyAlignment="1">
      <alignment vertical="center"/>
    </xf>
    <xf numFmtId="164" fontId="72" fillId="18" borderId="140" xfId="0" applyNumberFormat="1" applyFont="1" applyFill="1" applyBorder="1" applyAlignment="1">
      <alignment vertical="center"/>
    </xf>
    <xf numFmtId="164" fontId="13" fillId="18" borderId="140" xfId="0" applyNumberFormat="1" applyFont="1" applyFill="1" applyBorder="1" applyAlignment="1">
      <alignment vertical="center"/>
    </xf>
    <xf numFmtId="164" fontId="45" fillId="18" borderId="140" xfId="0" applyNumberFormat="1" applyFont="1" applyFill="1" applyBorder="1" applyAlignment="1">
      <alignment vertical="center"/>
    </xf>
    <xf numFmtId="164" fontId="39" fillId="17" borderId="140" xfId="0" applyNumberFormat="1" applyFont="1" applyFill="1" applyBorder="1" applyAlignment="1">
      <alignment vertical="center"/>
    </xf>
    <xf numFmtId="164" fontId="53" fillId="18" borderId="133" xfId="0" applyNumberFormat="1" applyFont="1" applyFill="1" applyBorder="1" applyAlignment="1">
      <alignment vertical="center"/>
    </xf>
    <xf numFmtId="164" fontId="39" fillId="17" borderId="105" xfId="0" applyNumberFormat="1" applyFont="1" applyFill="1" applyBorder="1" applyAlignment="1">
      <alignment vertical="center"/>
    </xf>
    <xf numFmtId="164" fontId="0" fillId="5" borderId="133" xfId="0" applyNumberFormat="1" applyFill="1" applyBorder="1" applyAlignment="1">
      <alignment vertical="center"/>
    </xf>
    <xf numFmtId="164" fontId="36" fillId="10" borderId="140" xfId="0" applyNumberFormat="1" applyFont="1" applyFill="1" applyBorder="1" applyAlignment="1">
      <alignment vertical="center"/>
    </xf>
    <xf numFmtId="164" fontId="13" fillId="10" borderId="140" xfId="0" applyNumberFormat="1" applyFont="1" applyFill="1" applyBorder="1" applyAlignment="1">
      <alignment vertical="center"/>
    </xf>
    <xf numFmtId="164" fontId="13" fillId="11" borderId="140" xfId="0" applyNumberFormat="1" applyFont="1" applyFill="1" applyBorder="1" applyAlignment="1">
      <alignment vertical="center"/>
    </xf>
    <xf numFmtId="164" fontId="42" fillId="11" borderId="140" xfId="0" applyNumberFormat="1" applyFont="1" applyFill="1" applyBorder="1" applyAlignment="1">
      <alignment vertical="center"/>
    </xf>
    <xf numFmtId="164" fontId="1" fillId="5" borderId="140" xfId="0" applyNumberFormat="1" applyFont="1" applyFill="1" applyBorder="1" applyAlignment="1">
      <alignment vertical="center"/>
    </xf>
    <xf numFmtId="164" fontId="1" fillId="11" borderId="140" xfId="0" applyNumberFormat="1" applyFont="1" applyFill="1" applyBorder="1" applyAlignment="1">
      <alignment vertical="center"/>
    </xf>
    <xf numFmtId="164" fontId="0" fillId="11" borderId="140" xfId="0" applyNumberFormat="1" applyFill="1" applyBorder="1" applyAlignment="1">
      <alignment vertical="center"/>
    </xf>
    <xf numFmtId="164" fontId="0" fillId="10" borderId="140" xfId="0" applyNumberFormat="1" applyFill="1" applyBorder="1" applyAlignment="1">
      <alignment vertical="center"/>
    </xf>
    <xf numFmtId="164" fontId="0" fillId="10" borderId="133" xfId="0" applyNumberFormat="1" applyFill="1" applyBorder="1" applyAlignment="1">
      <alignment vertical="center"/>
    </xf>
    <xf numFmtId="164" fontId="1" fillId="5" borderId="133" xfId="0" applyNumberFormat="1" applyFont="1" applyFill="1" applyBorder="1" applyAlignment="1">
      <alignment vertical="center"/>
    </xf>
    <xf numFmtId="164" fontId="0" fillId="0" borderId="140" xfId="0" applyNumberFormat="1" applyBorder="1" applyAlignment="1">
      <alignment vertical="center"/>
    </xf>
    <xf numFmtId="164" fontId="39" fillId="5" borderId="133" xfId="0" applyNumberFormat="1" applyFont="1" applyFill="1" applyBorder="1" applyAlignment="1">
      <alignment vertical="center"/>
    </xf>
    <xf numFmtId="164" fontId="39" fillId="18" borderId="133" xfId="0" applyNumberFormat="1" applyFont="1" applyFill="1" applyBorder="1" applyAlignment="1">
      <alignment vertical="center"/>
    </xf>
    <xf numFmtId="40" fontId="42" fillId="12" borderId="140" xfId="0" applyNumberFormat="1" applyFont="1" applyFill="1" applyBorder="1" applyAlignment="1">
      <alignment vertical="center"/>
    </xf>
    <xf numFmtId="164" fontId="43" fillId="0" borderId="141" xfId="0" applyNumberFormat="1" applyFont="1" applyBorder="1" applyAlignment="1">
      <alignment vertical="center"/>
    </xf>
    <xf numFmtId="0" fontId="0" fillId="12" borderId="101" xfId="0" applyFill="1" applyBorder="1" applyAlignment="1">
      <alignment vertical="center"/>
    </xf>
    <xf numFmtId="164" fontId="6" fillId="0" borderId="0" xfId="2" applyNumberFormat="1" applyFont="1" applyFill="1" applyBorder="1" applyAlignment="1" applyProtection="1">
      <alignment horizontal="right" vertical="top"/>
    </xf>
    <xf numFmtId="164" fontId="6" fillId="0" borderId="0" xfId="2" applyNumberFormat="1" applyFont="1" applyFill="1" applyBorder="1" applyAlignment="1" applyProtection="1">
      <alignment horizontal="right" vertical="top" wrapText="1"/>
    </xf>
    <xf numFmtId="164" fontId="6" fillId="0" borderId="0" xfId="0" applyNumberFormat="1" applyFont="1" applyAlignment="1">
      <alignment horizontal="right" vertical="top"/>
    </xf>
    <xf numFmtId="164" fontId="28" fillId="0" borderId="0" xfId="2" applyNumberFormat="1" applyFont="1" applyFill="1" applyBorder="1" applyAlignment="1" applyProtection="1">
      <alignment horizontal="right" vertical="top"/>
    </xf>
    <xf numFmtId="164" fontId="6" fillId="0" borderId="0" xfId="2" applyNumberFormat="1" applyFont="1" applyFill="1" applyBorder="1" applyAlignment="1" applyProtection="1">
      <alignment vertical="top"/>
    </xf>
    <xf numFmtId="164" fontId="6" fillId="0" borderId="0" xfId="0" applyNumberFormat="1" applyFont="1" applyAlignment="1">
      <alignment vertical="top"/>
    </xf>
    <xf numFmtId="164" fontId="1" fillId="7" borderId="0" xfId="0" applyNumberFormat="1" applyFont="1" applyFill="1"/>
    <xf numFmtId="164" fontId="73" fillId="7" borderId="0" xfId="0" applyNumberFormat="1" applyFont="1" applyFill="1"/>
    <xf numFmtId="164" fontId="59" fillId="7" borderId="0" xfId="0" applyNumberFormat="1" applyFont="1" applyFill="1"/>
    <xf numFmtId="164" fontId="13" fillId="6" borderId="0" xfId="0" applyNumberFormat="1" applyFont="1" applyFill="1"/>
    <xf numFmtId="0" fontId="1" fillId="0" borderId="0" xfId="0" applyFont="1" applyAlignment="1">
      <alignment horizontal="left" wrapText="1"/>
    </xf>
    <xf numFmtId="0" fontId="0" fillId="0" borderId="8" xfId="0" applyBorder="1" applyAlignment="1">
      <alignment vertical="center"/>
    </xf>
    <xf numFmtId="0" fontId="0" fillId="0" borderId="7" xfId="0" applyBorder="1" applyAlignment="1">
      <alignment vertical="center"/>
    </xf>
    <xf numFmtId="0" fontId="38" fillId="0" borderId="6" xfId="0" applyFont="1" applyBorder="1" applyAlignment="1">
      <alignment horizontal="center" vertical="center"/>
    </xf>
    <xf numFmtId="0" fontId="39" fillId="0" borderId="144" xfId="0" applyFont="1" applyBorder="1" applyAlignment="1">
      <alignment horizontal="center" vertical="center"/>
    </xf>
    <xf numFmtId="0" fontId="40" fillId="0" borderId="6" xfId="0" applyFont="1" applyBorder="1" applyAlignment="1">
      <alignment horizontal="center" vertical="center"/>
    </xf>
    <xf numFmtId="0" fontId="74" fillId="0" borderId="6" xfId="0" applyFont="1" applyBorder="1" applyAlignment="1">
      <alignment horizontal="center" vertical="center"/>
    </xf>
    <xf numFmtId="0" fontId="39" fillId="0" borderId="46" xfId="0" applyFont="1" applyBorder="1" applyAlignment="1">
      <alignment horizontal="center" vertical="center"/>
    </xf>
    <xf numFmtId="0" fontId="74" fillId="0" borderId="4" xfId="0" applyFont="1" applyBorder="1" applyAlignment="1">
      <alignment horizontal="center" vertical="center"/>
    </xf>
    <xf numFmtId="0" fontId="1" fillId="0" borderId="1" xfId="0" applyFont="1" applyBorder="1" applyAlignment="1">
      <alignment vertical="center"/>
    </xf>
    <xf numFmtId="14" fontId="39" fillId="0" borderId="105" xfId="0" applyNumberFormat="1" applyFont="1" applyBorder="1" applyAlignment="1">
      <alignment horizontal="center" vertical="center"/>
    </xf>
    <xf numFmtId="14" fontId="75" fillId="0" borderId="100" xfId="0" applyNumberFormat="1" applyFont="1" applyBorder="1" applyAlignment="1">
      <alignment horizontal="center" vertical="center" wrapText="1"/>
    </xf>
    <xf numFmtId="14" fontId="76" fillId="0" borderId="100" xfId="0" applyNumberFormat="1" applyFont="1" applyBorder="1" applyAlignment="1">
      <alignment horizontal="center" vertical="center" wrapText="1"/>
    </xf>
    <xf numFmtId="14" fontId="77" fillId="0" borderId="100" xfId="0" applyNumberFormat="1" applyFont="1" applyBorder="1" applyAlignment="1">
      <alignment horizontal="center" vertical="center" wrapText="1"/>
    </xf>
    <xf numFmtId="0" fontId="42" fillId="17" borderId="142" xfId="0" applyFont="1" applyFill="1" applyBorder="1" applyAlignment="1">
      <alignment vertical="center"/>
    </xf>
    <xf numFmtId="164" fontId="43" fillId="17" borderId="141" xfId="0" applyNumberFormat="1" applyFont="1" applyFill="1" applyBorder="1" applyAlignment="1">
      <alignment horizontal="center" vertical="center" wrapText="1"/>
    </xf>
    <xf numFmtId="164" fontId="42" fillId="17" borderId="143" xfId="0" applyNumberFormat="1" applyFont="1" applyFill="1" applyBorder="1" applyAlignment="1">
      <alignment horizontal="center" vertical="center" wrapText="1"/>
    </xf>
    <xf numFmtId="164" fontId="42" fillId="17" borderId="141" xfId="0" applyNumberFormat="1" applyFont="1" applyFill="1" applyBorder="1" applyAlignment="1">
      <alignment horizontal="center" vertical="center" wrapText="1"/>
    </xf>
    <xf numFmtId="0" fontId="42" fillId="17" borderId="90" xfId="0" applyFont="1" applyFill="1" applyBorder="1" applyAlignment="1">
      <alignment vertical="center"/>
    </xf>
    <xf numFmtId="164" fontId="13" fillId="17" borderId="143" xfId="0" applyNumberFormat="1" applyFont="1" applyFill="1" applyBorder="1" applyAlignment="1">
      <alignment horizontal="right" vertical="center" wrapText="1"/>
    </xf>
    <xf numFmtId="0" fontId="13" fillId="18" borderId="142" xfId="0" applyFont="1" applyFill="1" applyBorder="1" applyAlignment="1">
      <alignment vertical="center"/>
    </xf>
    <xf numFmtId="164" fontId="43" fillId="18" borderId="141" xfId="0" applyNumberFormat="1" applyFont="1" applyFill="1" applyBorder="1" applyAlignment="1">
      <alignment horizontal="right" vertical="center" wrapText="1"/>
    </xf>
    <xf numFmtId="164" fontId="13" fillId="18" borderId="143" xfId="0" applyNumberFormat="1" applyFont="1" applyFill="1" applyBorder="1" applyAlignment="1">
      <alignment horizontal="right" vertical="center" wrapText="1"/>
    </xf>
    <xf numFmtId="164" fontId="42" fillId="18" borderId="141" xfId="0" applyNumberFormat="1" applyFont="1" applyFill="1" applyBorder="1" applyAlignment="1">
      <alignment horizontal="right" vertical="center" wrapText="1"/>
    </xf>
    <xf numFmtId="164" fontId="42" fillId="18" borderId="90" xfId="0" applyNumberFormat="1" applyFont="1" applyFill="1" applyBorder="1" applyAlignment="1">
      <alignment horizontal="right" vertical="center" wrapText="1"/>
    </xf>
    <xf numFmtId="0" fontId="0" fillId="18" borderId="142" xfId="0" applyFill="1" applyBorder="1" applyAlignment="1">
      <alignment vertical="center"/>
    </xf>
    <xf numFmtId="164" fontId="43" fillId="18" borderId="141" xfId="0" applyNumberFormat="1" applyFont="1" applyFill="1" applyBorder="1" applyAlignment="1">
      <alignment horizontal="right" vertical="center"/>
    </xf>
    <xf numFmtId="164" fontId="36" fillId="18" borderId="143" xfId="0" applyNumberFormat="1" applyFont="1" applyFill="1" applyBorder="1" applyAlignment="1">
      <alignment horizontal="right" vertical="center"/>
    </xf>
    <xf numFmtId="164" fontId="42" fillId="18" borderId="141" xfId="0" applyNumberFormat="1" applyFont="1" applyFill="1" applyBorder="1" applyAlignment="1">
      <alignment horizontal="right" vertical="center"/>
    </xf>
    <xf numFmtId="164" fontId="0" fillId="18" borderId="143" xfId="0" applyNumberFormat="1" applyFill="1" applyBorder="1" applyAlignment="1">
      <alignment horizontal="right" vertical="center"/>
    </xf>
    <xf numFmtId="0" fontId="1" fillId="17" borderId="142" xfId="0" applyFont="1" applyFill="1" applyBorder="1" applyAlignment="1">
      <alignment vertical="center"/>
    </xf>
    <xf numFmtId="164" fontId="43" fillId="17" borderId="141" xfId="0" applyNumberFormat="1" applyFont="1" applyFill="1" applyBorder="1" applyAlignment="1">
      <alignment horizontal="right" vertical="center"/>
    </xf>
    <xf numFmtId="164" fontId="0" fillId="17" borderId="143" xfId="0" applyNumberFormat="1" applyFill="1" applyBorder="1" applyAlignment="1">
      <alignment horizontal="right" vertical="center"/>
    </xf>
    <xf numFmtId="164" fontId="42" fillId="17" borderId="141" xfId="0" applyNumberFormat="1" applyFont="1" applyFill="1" applyBorder="1" applyAlignment="1">
      <alignment horizontal="right" vertical="center"/>
    </xf>
    <xf numFmtId="164" fontId="42" fillId="18" borderId="90" xfId="0" applyNumberFormat="1" applyFont="1" applyFill="1" applyBorder="1" applyAlignment="1">
      <alignment vertical="center"/>
    </xf>
    <xf numFmtId="164" fontId="13" fillId="18" borderId="143" xfId="0" applyNumberFormat="1" applyFont="1" applyFill="1" applyBorder="1" applyAlignment="1">
      <alignment horizontal="right" vertical="center"/>
    </xf>
    <xf numFmtId="164" fontId="42" fillId="18" borderId="90" xfId="0" applyNumberFormat="1" applyFont="1" applyFill="1" applyBorder="1" applyAlignment="1">
      <alignment horizontal="right" vertical="center"/>
    </xf>
    <xf numFmtId="0" fontId="1" fillId="18" borderId="142" xfId="0" applyFont="1" applyFill="1" applyBorder="1" applyAlignment="1">
      <alignment vertical="center"/>
    </xf>
    <xf numFmtId="0" fontId="42" fillId="18" borderId="142" xfId="0" applyFont="1" applyFill="1" applyBorder="1" applyAlignment="1">
      <alignment vertical="center"/>
    </xf>
    <xf numFmtId="0" fontId="0" fillId="17" borderId="142" xfId="0" applyFill="1" applyBorder="1" applyAlignment="1">
      <alignment vertical="center"/>
    </xf>
    <xf numFmtId="0" fontId="0" fillId="17" borderId="145" xfId="0" applyFill="1" applyBorder="1" applyAlignment="1">
      <alignment vertical="center"/>
    </xf>
    <xf numFmtId="0" fontId="36" fillId="17" borderId="145" xfId="0" applyFont="1" applyFill="1" applyBorder="1" applyAlignment="1">
      <alignment vertical="center"/>
    </xf>
    <xf numFmtId="164" fontId="43" fillId="17" borderId="141" xfId="0" applyNumberFormat="1" applyFont="1" applyFill="1" applyBorder="1" applyAlignment="1">
      <alignment vertical="center"/>
    </xf>
    <xf numFmtId="164" fontId="42" fillId="17" borderId="141" xfId="0" applyNumberFormat="1" applyFont="1" applyFill="1" applyBorder="1" applyAlignment="1">
      <alignment vertical="center"/>
    </xf>
    <xf numFmtId="164" fontId="1" fillId="17" borderId="141" xfId="0" applyNumberFormat="1" applyFont="1" applyFill="1" applyBorder="1" applyAlignment="1">
      <alignment vertical="center"/>
    </xf>
    <xf numFmtId="164" fontId="44" fillId="18" borderId="141" xfId="0" applyNumberFormat="1" applyFont="1" applyFill="1" applyBorder="1" applyAlignment="1">
      <alignment vertical="center"/>
    </xf>
    <xf numFmtId="164" fontId="72" fillId="18" borderId="143" xfId="0" applyNumberFormat="1" applyFont="1" applyFill="1" applyBorder="1" applyAlignment="1">
      <alignment vertical="center"/>
    </xf>
    <xf numFmtId="164" fontId="58" fillId="18" borderId="141" xfId="0" applyNumberFormat="1" applyFont="1" applyFill="1" applyBorder="1" applyAlignment="1">
      <alignment vertical="center"/>
    </xf>
    <xf numFmtId="164" fontId="72" fillId="18" borderId="90" xfId="0" applyNumberFormat="1" applyFont="1" applyFill="1" applyBorder="1" applyAlignment="1">
      <alignment vertical="center"/>
    </xf>
    <xf numFmtId="164" fontId="40" fillId="18" borderId="90" xfId="0" applyNumberFormat="1" applyFont="1" applyFill="1" applyBorder="1" applyAlignment="1">
      <alignment vertical="center"/>
    </xf>
    <xf numFmtId="164" fontId="43" fillId="18" borderId="141" xfId="0" applyNumberFormat="1" applyFont="1" applyFill="1" applyBorder="1" applyAlignment="1">
      <alignment vertical="center"/>
    </xf>
    <xf numFmtId="164" fontId="13" fillId="18" borderId="143" xfId="0" applyNumberFormat="1" applyFont="1" applyFill="1" applyBorder="1" applyAlignment="1">
      <alignment vertical="center"/>
    </xf>
    <xf numFmtId="164" fontId="42" fillId="18" borderId="141" xfId="0" applyNumberFormat="1" applyFont="1" applyFill="1" applyBorder="1" applyAlignment="1">
      <alignment vertical="center"/>
    </xf>
    <xf numFmtId="164" fontId="44" fillId="14" borderId="141" xfId="0" applyNumberFormat="1" applyFont="1" applyFill="1" applyBorder="1" applyAlignment="1">
      <alignment vertical="center"/>
    </xf>
    <xf numFmtId="164" fontId="45" fillId="18" borderId="143" xfId="0" applyNumberFormat="1" applyFont="1" applyFill="1" applyBorder="1" applyAlignment="1">
      <alignment vertical="center"/>
    </xf>
    <xf numFmtId="164" fontId="58" fillId="14" borderId="141" xfId="0" applyNumberFormat="1" applyFont="1" applyFill="1" applyBorder="1" applyAlignment="1">
      <alignment vertical="center"/>
    </xf>
    <xf numFmtId="164" fontId="39" fillId="17" borderId="143" xfId="0" applyNumberFormat="1" applyFont="1" applyFill="1" applyBorder="1" applyAlignment="1">
      <alignment vertical="center"/>
    </xf>
    <xf numFmtId="0" fontId="0" fillId="18" borderId="145" xfId="0" applyFill="1" applyBorder="1" applyAlignment="1">
      <alignment vertical="center"/>
    </xf>
    <xf numFmtId="164" fontId="0" fillId="18" borderId="141" xfId="0" applyNumberFormat="1" applyFill="1" applyBorder="1" applyAlignment="1">
      <alignment vertical="center"/>
    </xf>
    <xf numFmtId="164" fontId="1" fillId="18" borderId="141" xfId="0" applyNumberFormat="1" applyFont="1" applyFill="1" applyBorder="1" applyAlignment="1">
      <alignment vertical="center"/>
    </xf>
    <xf numFmtId="164" fontId="42" fillId="17" borderId="100" xfId="0" applyNumberFormat="1" applyFont="1" applyFill="1" applyBorder="1" applyAlignment="1">
      <alignment vertical="center"/>
    </xf>
    <xf numFmtId="164" fontId="23" fillId="17" borderId="23" xfId="0" applyNumberFormat="1" applyFont="1" applyFill="1" applyBorder="1" applyAlignment="1">
      <alignment vertical="center"/>
    </xf>
    <xf numFmtId="0" fontId="36" fillId="5" borderId="142" xfId="0" applyFont="1" applyFill="1" applyBorder="1" applyAlignment="1">
      <alignment vertical="center"/>
    </xf>
    <xf numFmtId="0" fontId="36" fillId="5" borderId="145" xfId="0" applyFont="1" applyFill="1" applyBorder="1" applyAlignment="1">
      <alignment vertical="center"/>
    </xf>
    <xf numFmtId="0" fontId="0" fillId="5" borderId="145" xfId="0" applyFill="1" applyBorder="1" applyAlignment="1">
      <alignment vertical="center"/>
    </xf>
    <xf numFmtId="164" fontId="43" fillId="5" borderId="141" xfId="0" applyNumberFormat="1" applyFont="1" applyFill="1" applyBorder="1" applyAlignment="1">
      <alignment vertical="center"/>
    </xf>
    <xf numFmtId="164" fontId="42" fillId="5" borderId="141" xfId="0" applyNumberFormat="1" applyFont="1" applyFill="1" applyBorder="1" applyAlignment="1">
      <alignment vertical="center"/>
    </xf>
    <xf numFmtId="164" fontId="0" fillId="5" borderId="141" xfId="0" applyNumberFormat="1" applyFill="1" applyBorder="1" applyAlignment="1">
      <alignment vertical="center"/>
    </xf>
    <xf numFmtId="164" fontId="1" fillId="5" borderId="141" xfId="0" applyNumberFormat="1" applyFont="1" applyFill="1" applyBorder="1" applyAlignment="1">
      <alignment vertical="center"/>
    </xf>
    <xf numFmtId="0" fontId="0" fillId="10" borderId="142" xfId="0" applyFill="1" applyBorder="1" applyAlignment="1">
      <alignment vertical="center"/>
    </xf>
    <xf numFmtId="164" fontId="43" fillId="10" borderId="141" xfId="0" applyNumberFormat="1" applyFont="1" applyFill="1" applyBorder="1" applyAlignment="1">
      <alignment vertical="center"/>
    </xf>
    <xf numFmtId="164" fontId="36" fillId="10" borderId="143" xfId="0" applyNumberFormat="1" applyFont="1" applyFill="1" applyBorder="1" applyAlignment="1">
      <alignment vertical="center"/>
    </xf>
    <xf numFmtId="164" fontId="42" fillId="10" borderId="141" xfId="0" applyNumberFormat="1" applyFont="1" applyFill="1" applyBorder="1" applyAlignment="1">
      <alignment vertical="center"/>
    </xf>
    <xf numFmtId="164" fontId="42" fillId="10" borderId="141" xfId="0" applyNumberFormat="1" applyFont="1" applyFill="1" applyBorder="1" applyAlignment="1">
      <alignment horizontal="right" vertical="center" wrapText="1"/>
    </xf>
    <xf numFmtId="164" fontId="1" fillId="10" borderId="90" xfId="0" applyNumberFormat="1" applyFont="1" applyFill="1" applyBorder="1" applyAlignment="1">
      <alignment vertical="center"/>
    </xf>
    <xf numFmtId="164" fontId="13" fillId="10" borderId="143" xfId="0" applyNumberFormat="1" applyFont="1" applyFill="1" applyBorder="1" applyAlignment="1">
      <alignment vertical="center"/>
    </xf>
    <xf numFmtId="0" fontId="1" fillId="11" borderId="142" xfId="0" applyFont="1" applyFill="1" applyBorder="1" applyAlignment="1">
      <alignment vertical="center"/>
    </xf>
    <xf numFmtId="164" fontId="43" fillId="11" borderId="141" xfId="0" applyNumberFormat="1" applyFont="1" applyFill="1" applyBorder="1" applyAlignment="1">
      <alignment vertical="center"/>
    </xf>
    <xf numFmtId="164" fontId="13" fillId="11" borderId="143" xfId="0" applyNumberFormat="1" applyFont="1" applyFill="1" applyBorder="1" applyAlignment="1">
      <alignment vertical="center"/>
    </xf>
    <xf numFmtId="164" fontId="42" fillId="11" borderId="141" xfId="0" applyNumberFormat="1" applyFont="1" applyFill="1" applyBorder="1" applyAlignment="1">
      <alignment vertical="center"/>
    </xf>
    <xf numFmtId="164" fontId="42" fillId="11" borderId="143" xfId="0" applyNumberFormat="1" applyFont="1" applyFill="1" applyBorder="1" applyAlignment="1">
      <alignment vertical="center"/>
    </xf>
    <xf numFmtId="164" fontId="42" fillId="10" borderId="90" xfId="0" applyNumberFormat="1" applyFont="1" applyFill="1" applyBorder="1" applyAlignment="1">
      <alignment vertical="center"/>
    </xf>
    <xf numFmtId="0" fontId="42" fillId="11" borderId="142" xfId="0" applyFont="1" applyFill="1" applyBorder="1" applyAlignment="1">
      <alignment vertical="center"/>
    </xf>
    <xf numFmtId="164" fontId="42" fillId="11" borderId="141" xfId="0" applyNumberFormat="1" applyFont="1" applyFill="1" applyBorder="1" applyAlignment="1">
      <alignment horizontal="right" vertical="center" wrapText="1"/>
    </xf>
    <xf numFmtId="164" fontId="1" fillId="5" borderId="143" xfId="0" applyNumberFormat="1" applyFont="1" applyFill="1" applyBorder="1" applyAlignment="1">
      <alignment vertical="center"/>
    </xf>
    <xf numFmtId="164" fontId="1" fillId="11" borderId="143" xfId="0" applyNumberFormat="1" applyFont="1" applyFill="1" applyBorder="1" applyAlignment="1">
      <alignment vertical="center"/>
    </xf>
    <xf numFmtId="0" fontId="48" fillId="10" borderId="146" xfId="9" applyFill="1" applyBorder="1" applyAlignment="1">
      <alignment vertical="center"/>
    </xf>
    <xf numFmtId="0" fontId="48" fillId="10" borderId="147" xfId="9" applyFill="1" applyBorder="1" applyAlignment="1">
      <alignment vertical="center"/>
    </xf>
    <xf numFmtId="164" fontId="43" fillId="10" borderId="148" xfId="0" applyNumberFormat="1" applyFont="1" applyFill="1" applyBorder="1" applyAlignment="1">
      <alignment vertical="center"/>
    </xf>
    <xf numFmtId="164" fontId="42" fillId="10" borderId="149" xfId="0" applyNumberFormat="1" applyFont="1" applyFill="1" applyBorder="1" applyAlignment="1">
      <alignment vertical="center"/>
    </xf>
    <xf numFmtId="164" fontId="42" fillId="10" borderId="150" xfId="0" applyNumberFormat="1" applyFont="1" applyFill="1" applyBorder="1" applyAlignment="1">
      <alignment horizontal="right" vertical="center" wrapText="1"/>
    </xf>
    <xf numFmtId="172" fontId="13" fillId="10" borderId="151" xfId="10" applyNumberFormat="1" applyFont="1" applyFill="1" applyBorder="1"/>
    <xf numFmtId="164" fontId="1" fillId="10" borderId="152" xfId="0" applyNumberFormat="1" applyFont="1" applyFill="1" applyBorder="1" applyAlignment="1">
      <alignment vertical="center"/>
    </xf>
    <xf numFmtId="164" fontId="13" fillId="10" borderId="152" xfId="0" applyNumberFormat="1" applyFont="1" applyFill="1" applyBorder="1" applyAlignment="1">
      <alignment vertical="center"/>
    </xf>
    <xf numFmtId="164" fontId="42" fillId="10" borderId="152" xfId="0" applyNumberFormat="1" applyFont="1" applyFill="1" applyBorder="1" applyAlignment="1">
      <alignment vertical="center"/>
    </xf>
    <xf numFmtId="0" fontId="48" fillId="10" borderId="153" xfId="9" applyFill="1" applyBorder="1" applyAlignment="1">
      <alignment vertical="center"/>
    </xf>
    <xf numFmtId="0" fontId="48" fillId="10" borderId="154" xfId="9" applyFill="1" applyBorder="1" applyAlignment="1">
      <alignment vertical="center"/>
    </xf>
    <xf numFmtId="164" fontId="43" fillId="10" borderId="155" xfId="0" applyNumberFormat="1" applyFont="1" applyFill="1" applyBorder="1" applyAlignment="1">
      <alignment vertical="center"/>
    </xf>
    <xf numFmtId="164" fontId="13" fillId="10" borderId="156" xfId="0" applyNumberFormat="1" applyFont="1" applyFill="1" applyBorder="1" applyAlignment="1">
      <alignment vertical="center"/>
    </xf>
    <xf numFmtId="164" fontId="42" fillId="10" borderId="155" xfId="0" applyNumberFormat="1" applyFont="1" applyFill="1" applyBorder="1" applyAlignment="1">
      <alignment vertical="center"/>
    </xf>
    <xf numFmtId="172" fontId="13" fillId="10" borderId="157" xfId="10" applyNumberFormat="1" applyFont="1" applyFill="1" applyBorder="1"/>
    <xf numFmtId="0" fontId="48" fillId="10" borderId="158" xfId="9" applyFill="1" applyBorder="1" applyAlignment="1">
      <alignment vertical="center"/>
    </xf>
    <xf numFmtId="0" fontId="48" fillId="10" borderId="159" xfId="9" applyFill="1" applyBorder="1" applyAlignment="1">
      <alignment vertical="center"/>
    </xf>
    <xf numFmtId="164" fontId="43" fillId="10" borderId="160" xfId="0" applyNumberFormat="1" applyFont="1" applyFill="1" applyBorder="1" applyAlignment="1">
      <alignment vertical="center"/>
    </xf>
    <xf numFmtId="164" fontId="42" fillId="10" borderId="160" xfId="0" applyNumberFormat="1" applyFont="1" applyFill="1" applyBorder="1" applyAlignment="1">
      <alignment vertical="center"/>
    </xf>
    <xf numFmtId="172" fontId="13" fillId="10" borderId="161" xfId="10" applyNumberFormat="1" applyFont="1" applyFill="1" applyBorder="1"/>
    <xf numFmtId="0" fontId="1" fillId="11" borderId="152" xfId="0" applyFont="1" applyFill="1" applyBorder="1" applyAlignment="1">
      <alignment vertical="center"/>
    </xf>
    <xf numFmtId="0" fontId="1" fillId="11" borderId="162" xfId="0" applyFont="1" applyFill="1" applyBorder="1" applyAlignment="1">
      <alignment vertical="center"/>
    </xf>
    <xf numFmtId="164" fontId="43" fillId="11" borderId="150" xfId="0" applyNumberFormat="1" applyFont="1" applyFill="1" applyBorder="1" applyAlignment="1">
      <alignment vertical="center"/>
    </xf>
    <xf numFmtId="164" fontId="13" fillId="11" borderId="156" xfId="0" applyNumberFormat="1" applyFont="1" applyFill="1" applyBorder="1" applyAlignment="1">
      <alignment vertical="center"/>
    </xf>
    <xf numFmtId="164" fontId="42" fillId="11" borderId="150" xfId="0" applyNumberFormat="1" applyFont="1" applyFill="1" applyBorder="1" applyAlignment="1">
      <alignment vertical="center"/>
    </xf>
    <xf numFmtId="164" fontId="1" fillId="11" borderId="152" xfId="0" applyNumberFormat="1" applyFont="1" applyFill="1" applyBorder="1" applyAlignment="1">
      <alignment vertical="center"/>
    </xf>
    <xf numFmtId="164" fontId="42" fillId="11" borderId="152" xfId="0" applyNumberFormat="1" applyFont="1" applyFill="1" applyBorder="1" applyAlignment="1">
      <alignment vertical="center"/>
    </xf>
    <xf numFmtId="164" fontId="13" fillId="11" borderId="152" xfId="0" applyNumberFormat="1" applyFont="1" applyFill="1" applyBorder="1" applyAlignment="1">
      <alignment vertical="center"/>
    </xf>
    <xf numFmtId="0" fontId="48" fillId="10" borderId="152" xfId="9" applyFill="1" applyBorder="1" applyAlignment="1">
      <alignment vertical="center"/>
    </xf>
    <xf numFmtId="0" fontId="48" fillId="10" borderId="162" xfId="9" applyFill="1" applyBorder="1" applyAlignment="1">
      <alignment vertical="center"/>
    </xf>
    <xf numFmtId="164" fontId="43" fillId="10" borderId="150" xfId="0" applyNumberFormat="1" applyFont="1" applyFill="1" applyBorder="1" applyAlignment="1">
      <alignment vertical="center"/>
    </xf>
    <xf numFmtId="164" fontId="42" fillId="10" borderId="150" xfId="0" applyNumberFormat="1" applyFont="1" applyFill="1" applyBorder="1" applyAlignment="1">
      <alignment vertical="center"/>
    </xf>
    <xf numFmtId="172" fontId="13" fillId="10" borderId="152" xfId="10" applyNumberFormat="1" applyFont="1" applyFill="1" applyBorder="1"/>
    <xf numFmtId="172" fontId="78" fillId="10" borderId="152" xfId="10" applyNumberFormat="1" applyFont="1" applyFill="1" applyBorder="1"/>
    <xf numFmtId="0" fontId="0" fillId="10" borderId="152" xfId="0" applyFill="1" applyBorder="1" applyAlignment="1">
      <alignment vertical="center"/>
    </xf>
    <xf numFmtId="0" fontId="0" fillId="10" borderId="162" xfId="0" applyFill="1" applyBorder="1" applyAlignment="1">
      <alignment vertical="center"/>
    </xf>
    <xf numFmtId="164" fontId="0" fillId="10" borderId="152" xfId="0" applyNumberFormat="1" applyFill="1" applyBorder="1" applyAlignment="1">
      <alignment vertical="center"/>
    </xf>
    <xf numFmtId="164" fontId="0" fillId="11" borderId="156" xfId="0" applyNumberFormat="1" applyFill="1" applyBorder="1" applyAlignment="1">
      <alignment vertical="center"/>
    </xf>
    <xf numFmtId="164" fontId="0" fillId="11" borderId="152" xfId="0" applyNumberFormat="1" applyFill="1" applyBorder="1" applyAlignment="1">
      <alignment vertical="center"/>
    </xf>
    <xf numFmtId="164" fontId="0" fillId="10" borderId="156" xfId="0" applyNumberFormat="1" applyFill="1" applyBorder="1" applyAlignment="1">
      <alignment vertical="center"/>
    </xf>
    <xf numFmtId="164" fontId="1" fillId="11" borderId="156" xfId="0" applyNumberFormat="1" applyFont="1" applyFill="1" applyBorder="1" applyAlignment="1">
      <alignment vertical="center"/>
    </xf>
    <xf numFmtId="164" fontId="36" fillId="10" borderId="156" xfId="0" applyNumberFormat="1" applyFont="1" applyFill="1" applyBorder="1" applyAlignment="1">
      <alignment vertical="center"/>
    </xf>
    <xf numFmtId="164" fontId="36" fillId="10" borderId="152" xfId="0" applyNumberFormat="1" applyFont="1" applyFill="1" applyBorder="1" applyAlignment="1">
      <alignment vertical="center"/>
    </xf>
    <xf numFmtId="164" fontId="42" fillId="11" borderId="156" xfId="0" applyNumberFormat="1" applyFont="1" applyFill="1" applyBorder="1" applyAlignment="1">
      <alignment vertical="center"/>
    </xf>
    <xf numFmtId="164" fontId="36" fillId="11" borderId="152" xfId="0" applyNumberFormat="1" applyFont="1" applyFill="1" applyBorder="1" applyAlignment="1">
      <alignment vertical="center"/>
    </xf>
    <xf numFmtId="0" fontId="0" fillId="11" borderId="152" xfId="0" quotePrefix="1" applyFill="1" applyBorder="1" applyAlignment="1">
      <alignment vertical="center"/>
    </xf>
    <xf numFmtId="0" fontId="0" fillId="11" borderId="152" xfId="0" applyFill="1" applyBorder="1" applyAlignment="1">
      <alignment vertical="center"/>
    </xf>
    <xf numFmtId="0" fontId="0" fillId="11" borderId="162" xfId="0" applyFill="1" applyBorder="1" applyAlignment="1">
      <alignment vertical="center"/>
    </xf>
    <xf numFmtId="164" fontId="37" fillId="11" borderId="152" xfId="0" applyNumberFormat="1" applyFont="1" applyFill="1" applyBorder="1" applyAlignment="1">
      <alignment vertical="center"/>
    </xf>
    <xf numFmtId="0" fontId="42" fillId="11" borderId="152" xfId="0" applyFont="1" applyFill="1" applyBorder="1" applyAlignment="1">
      <alignment vertical="center"/>
    </xf>
    <xf numFmtId="0" fontId="42" fillId="11" borderId="162" xfId="0" applyFont="1" applyFill="1" applyBorder="1" applyAlignment="1">
      <alignment vertical="center"/>
    </xf>
    <xf numFmtId="164" fontId="42" fillId="11" borderId="150" xfId="0" applyNumberFormat="1" applyFont="1" applyFill="1" applyBorder="1" applyAlignment="1">
      <alignment horizontal="right" vertical="center" wrapText="1"/>
    </xf>
    <xf numFmtId="0" fontId="13" fillId="10" borderId="152" xfId="0" quotePrefix="1" applyFont="1" applyFill="1" applyBorder="1" applyAlignment="1">
      <alignment vertical="center"/>
    </xf>
    <xf numFmtId="0" fontId="13" fillId="10" borderId="152" xfId="0" applyFont="1" applyFill="1" applyBorder="1" applyAlignment="1">
      <alignment vertical="center"/>
    </xf>
    <xf numFmtId="0" fontId="13" fillId="10" borderId="162" xfId="0" applyFont="1" applyFill="1" applyBorder="1" applyAlignment="1">
      <alignment vertical="center"/>
    </xf>
    <xf numFmtId="0" fontId="1" fillId="10" borderId="152" xfId="0" applyFont="1" applyFill="1" applyBorder="1" applyAlignment="1">
      <alignment vertical="center"/>
    </xf>
    <xf numFmtId="164" fontId="0" fillId="10" borderId="163" xfId="0" applyNumberFormat="1" applyFill="1" applyBorder="1" applyAlignment="1">
      <alignment vertical="center"/>
    </xf>
    <xf numFmtId="164" fontId="0" fillId="10" borderId="150" xfId="0" applyNumberFormat="1" applyFill="1" applyBorder="1" applyAlignment="1">
      <alignment vertical="center"/>
    </xf>
    <xf numFmtId="0" fontId="0" fillId="5" borderId="162" xfId="0" applyFill="1" applyBorder="1" applyAlignment="1">
      <alignment vertical="center"/>
    </xf>
    <xf numFmtId="0" fontId="0" fillId="5" borderId="164" xfId="0" applyFill="1" applyBorder="1" applyAlignment="1">
      <alignment vertical="center"/>
    </xf>
    <xf numFmtId="0" fontId="36" fillId="5" borderId="164" xfId="0" applyFont="1" applyFill="1" applyBorder="1" applyAlignment="1">
      <alignment vertical="center"/>
    </xf>
    <xf numFmtId="164" fontId="43" fillId="5" borderId="150" xfId="0" applyNumberFormat="1" applyFont="1" applyFill="1" applyBorder="1" applyAlignment="1">
      <alignment vertical="center"/>
    </xf>
    <xf numFmtId="164" fontId="1" fillId="5" borderId="163" xfId="0" applyNumberFormat="1" applyFont="1" applyFill="1" applyBorder="1" applyAlignment="1">
      <alignment vertical="center"/>
    </xf>
    <xf numFmtId="164" fontId="42" fillId="5" borderId="150" xfId="0" applyNumberFormat="1" applyFont="1" applyFill="1" applyBorder="1" applyAlignment="1">
      <alignment vertical="center"/>
    </xf>
    <xf numFmtId="164" fontId="1" fillId="5" borderId="150" xfId="0" applyNumberFormat="1" applyFont="1" applyFill="1" applyBorder="1" applyAlignment="1">
      <alignment vertical="center"/>
    </xf>
    <xf numFmtId="0" fontId="52" fillId="10" borderId="154" xfId="9" applyFont="1" applyFill="1" applyBorder="1" applyAlignment="1">
      <alignment vertical="center"/>
    </xf>
    <xf numFmtId="0" fontId="48" fillId="10" borderId="165" xfId="9" applyFill="1" applyBorder="1" applyAlignment="1">
      <alignment vertical="center"/>
    </xf>
    <xf numFmtId="0" fontId="52" fillId="10" borderId="165" xfId="9" applyFont="1" applyFill="1" applyBorder="1" applyAlignment="1">
      <alignment vertical="center"/>
    </xf>
    <xf numFmtId="0" fontId="53" fillId="10" borderId="162" xfId="0" applyFont="1" applyFill="1" applyBorder="1" applyAlignment="1">
      <alignment vertical="center"/>
    </xf>
    <xf numFmtId="164" fontId="0" fillId="5" borderId="163" xfId="0" applyNumberFormat="1" applyFill="1" applyBorder="1" applyAlignment="1">
      <alignment vertical="center"/>
    </xf>
    <xf numFmtId="164" fontId="0" fillId="5" borderId="150" xfId="0" applyNumberFormat="1" applyFill="1" applyBorder="1" applyAlignment="1">
      <alignment vertical="center"/>
    </xf>
    <xf numFmtId="0" fontId="0" fillId="0" borderId="152" xfId="0" applyBorder="1" applyAlignment="1">
      <alignment vertical="center"/>
    </xf>
    <xf numFmtId="0" fontId="0" fillId="0" borderId="162" xfId="0" applyBorder="1" applyAlignment="1">
      <alignment vertical="center"/>
    </xf>
    <xf numFmtId="164" fontId="43" fillId="0" borderId="150" xfId="0" applyNumberFormat="1" applyFont="1" applyBorder="1" applyAlignment="1">
      <alignment vertical="center"/>
    </xf>
    <xf numFmtId="164" fontId="0" fillId="0" borderId="156" xfId="0" applyNumberFormat="1" applyBorder="1" applyAlignment="1">
      <alignment vertical="center"/>
    </xf>
    <xf numFmtId="164" fontId="42" fillId="0" borderId="150" xfId="0" applyNumberFormat="1" applyFont="1" applyBorder="1" applyAlignment="1">
      <alignment vertical="center"/>
    </xf>
    <xf numFmtId="164" fontId="0" fillId="0" borderId="152" xfId="0" applyNumberFormat="1" applyBorder="1" applyAlignment="1">
      <alignment vertical="center"/>
    </xf>
    <xf numFmtId="164" fontId="1" fillId="0" borderId="152" xfId="0" applyNumberFormat="1" applyFont="1" applyBorder="1" applyAlignment="1">
      <alignment vertical="center"/>
    </xf>
    <xf numFmtId="164" fontId="38" fillId="5" borderId="150" xfId="0" applyNumberFormat="1" applyFont="1" applyFill="1" applyBorder="1" applyAlignment="1">
      <alignment vertical="center"/>
    </xf>
    <xf numFmtId="164" fontId="39" fillId="5" borderId="163" xfId="0" applyNumberFormat="1" applyFont="1" applyFill="1" applyBorder="1" applyAlignment="1">
      <alignment vertical="center"/>
    </xf>
    <xf numFmtId="164" fontId="22" fillId="5" borderId="150" xfId="0" applyNumberFormat="1" applyFont="1" applyFill="1" applyBorder="1" applyAlignment="1">
      <alignment vertical="center"/>
    </xf>
    <xf numFmtId="164" fontId="39" fillId="5" borderId="150" xfId="0" applyNumberFormat="1" applyFont="1" applyFill="1" applyBorder="1" applyAlignment="1">
      <alignment vertical="center"/>
    </xf>
    <xf numFmtId="0" fontId="0" fillId="18" borderId="162" xfId="0" applyFill="1" applyBorder="1" applyAlignment="1">
      <alignment vertical="center"/>
    </xf>
    <xf numFmtId="0" fontId="0" fillId="18" borderId="164" xfId="0" applyFill="1" applyBorder="1" applyAlignment="1">
      <alignment vertical="center"/>
    </xf>
    <xf numFmtId="0" fontId="36" fillId="18" borderId="164" xfId="0" applyFont="1" applyFill="1" applyBorder="1" applyAlignment="1">
      <alignment vertical="center"/>
    </xf>
    <xf numFmtId="164" fontId="38" fillId="18" borderId="150" xfId="0" applyNumberFormat="1" applyFont="1" applyFill="1" applyBorder="1" applyAlignment="1">
      <alignment vertical="center"/>
    </xf>
    <xf numFmtId="164" fontId="39" fillId="18" borderId="163" xfId="0" applyNumberFormat="1" applyFont="1" applyFill="1" applyBorder="1" applyAlignment="1">
      <alignment vertical="center"/>
    </xf>
    <xf numFmtId="164" fontId="42" fillId="18" borderId="150" xfId="0" applyNumberFormat="1" applyFont="1" applyFill="1" applyBorder="1" applyAlignment="1">
      <alignment vertical="center"/>
    </xf>
    <xf numFmtId="164" fontId="1" fillId="18" borderId="150" xfId="0" applyNumberFormat="1" applyFont="1" applyFill="1" applyBorder="1" applyAlignment="1">
      <alignment vertical="center"/>
    </xf>
    <xf numFmtId="164" fontId="22" fillId="18" borderId="150" xfId="0" applyNumberFormat="1" applyFont="1" applyFill="1" applyBorder="1" applyAlignment="1">
      <alignment vertical="center"/>
    </xf>
    <xf numFmtId="164" fontId="39" fillId="18" borderId="150" xfId="0" applyNumberFormat="1" applyFont="1" applyFill="1" applyBorder="1" applyAlignment="1">
      <alignment vertical="center"/>
    </xf>
    <xf numFmtId="40" fontId="0" fillId="12" borderId="162" xfId="0" applyNumberFormat="1" applyFill="1" applyBorder="1" applyAlignment="1">
      <alignment vertical="center"/>
    </xf>
    <xf numFmtId="40" fontId="0" fillId="12" borderId="164" xfId="0" applyNumberFormat="1" applyFill="1" applyBorder="1" applyAlignment="1">
      <alignment vertical="center"/>
    </xf>
    <xf numFmtId="40" fontId="1" fillId="12" borderId="164" xfId="0" applyNumberFormat="1" applyFont="1" applyFill="1" applyBorder="1" applyAlignment="1">
      <alignment vertical="center"/>
    </xf>
    <xf numFmtId="40" fontId="43" fillId="12" borderId="150" xfId="0" applyNumberFormat="1" applyFont="1" applyFill="1" applyBorder="1" applyAlignment="1">
      <alignment vertical="center"/>
    </xf>
    <xf numFmtId="40" fontId="42" fillId="12" borderId="156" xfId="0" applyNumberFormat="1" applyFont="1" applyFill="1" applyBorder="1" applyAlignment="1">
      <alignment vertical="center"/>
    </xf>
    <xf numFmtId="40" fontId="42" fillId="12" borderId="150" xfId="0" applyNumberFormat="1" applyFont="1" applyFill="1" applyBorder="1" applyAlignment="1">
      <alignment vertical="center"/>
    </xf>
    <xf numFmtId="40" fontId="1" fillId="12" borderId="152" xfId="0" applyNumberFormat="1" applyFont="1" applyFill="1" applyBorder="1" applyAlignment="1">
      <alignment vertical="center"/>
    </xf>
    <xf numFmtId="40" fontId="42" fillId="12" borderId="152" xfId="0" applyNumberFormat="1" applyFont="1" applyFill="1" applyBorder="1" applyAlignment="1">
      <alignment vertical="center"/>
    </xf>
    <xf numFmtId="0" fontId="39" fillId="0" borderId="0" xfId="0" applyFont="1" applyAlignment="1">
      <alignment vertical="center"/>
    </xf>
    <xf numFmtId="164" fontId="59" fillId="6" borderId="0" xfId="0" applyNumberFormat="1" applyFont="1" applyFill="1"/>
    <xf numFmtId="164" fontId="13" fillId="7" borderId="0" xfId="0" applyNumberFormat="1" applyFont="1" applyFill="1"/>
    <xf numFmtId="164" fontId="22" fillId="0" borderId="0" xfId="0" applyNumberFormat="1" applyFont="1"/>
    <xf numFmtId="164" fontId="42" fillId="5" borderId="0" xfId="0" applyNumberFormat="1" applyFont="1" applyFill="1"/>
    <xf numFmtId="164" fontId="42" fillId="7" borderId="0" xfId="0" applyNumberFormat="1" applyFont="1" applyFill="1"/>
    <xf numFmtId="164" fontId="13" fillId="7" borderId="0" xfId="1" applyNumberFormat="1" applyFont="1" applyFill="1"/>
    <xf numFmtId="164" fontId="42" fillId="2" borderId="0" xfId="0" applyNumberFormat="1" applyFont="1" applyFill="1"/>
    <xf numFmtId="164" fontId="13" fillId="4" borderId="0" xfId="0" applyNumberFormat="1" applyFont="1" applyFill="1"/>
    <xf numFmtId="164" fontId="13" fillId="3" borderId="0" xfId="0" applyNumberFormat="1" applyFont="1" applyFill="1"/>
    <xf numFmtId="164" fontId="13" fillId="3" borderId="0" xfId="1" applyNumberFormat="1" applyFont="1" applyFill="1"/>
    <xf numFmtId="17" fontId="67" fillId="12" borderId="131" xfId="0" applyNumberFormat="1" applyFont="1" applyFill="1" applyBorder="1" applyAlignment="1">
      <alignment horizontal="right"/>
    </xf>
    <xf numFmtId="164" fontId="0" fillId="12" borderId="132" xfId="0" applyNumberFormat="1" applyFill="1" applyBorder="1"/>
    <xf numFmtId="164" fontId="0" fillId="12" borderId="133" xfId="0" applyNumberFormat="1" applyFill="1" applyBorder="1"/>
    <xf numFmtId="164" fontId="67" fillId="12" borderId="135" xfId="0" applyNumberFormat="1" applyFont="1" applyFill="1" applyBorder="1"/>
    <xf numFmtId="0" fontId="45" fillId="0" borderId="0" xfId="0" applyFont="1"/>
    <xf numFmtId="0" fontId="0" fillId="12" borderId="128" xfId="0" applyFill="1" applyBorder="1"/>
    <xf numFmtId="0" fontId="0" fillId="12" borderId="126" xfId="0" applyFill="1" applyBorder="1"/>
    <xf numFmtId="164" fontId="0" fillId="12" borderId="170" xfId="0" applyNumberFormat="1" applyFill="1" applyBorder="1"/>
    <xf numFmtId="164" fontId="0" fillId="12" borderId="127" xfId="0" applyNumberFormat="1" applyFill="1" applyBorder="1"/>
    <xf numFmtId="0" fontId="14" fillId="12" borderId="171" xfId="0" applyFont="1" applyFill="1" applyBorder="1" applyAlignment="1">
      <alignment vertical="center"/>
    </xf>
    <xf numFmtId="0" fontId="0" fillId="12" borderId="48" xfId="0" applyFill="1" applyBorder="1"/>
    <xf numFmtId="0" fontId="67" fillId="12" borderId="49" xfId="0" applyFont="1" applyFill="1" applyBorder="1"/>
    <xf numFmtId="164" fontId="67" fillId="12" borderId="42" xfId="0" applyNumberFormat="1" applyFont="1" applyFill="1" applyBorder="1"/>
    <xf numFmtId="164" fontId="23" fillId="12" borderId="0" xfId="0" applyNumberFormat="1" applyFont="1" applyFill="1"/>
    <xf numFmtId="164" fontId="45" fillId="12" borderId="0" xfId="0" applyNumberFormat="1" applyFont="1" applyFill="1"/>
    <xf numFmtId="0" fontId="1" fillId="0" borderId="78" xfId="0" applyFont="1" applyBorder="1" applyAlignment="1">
      <alignment horizontal="left" indent="1"/>
    </xf>
    <xf numFmtId="0" fontId="0" fillId="0" borderId="169" xfId="0" applyBorder="1" applyAlignment="1">
      <alignment horizontal="left" wrapText="1" indent="1"/>
    </xf>
    <xf numFmtId="0" fontId="0" fillId="0" borderId="169" xfId="0" applyBorder="1" applyAlignment="1">
      <alignment horizontal="left" indent="1"/>
    </xf>
    <xf numFmtId="44" fontId="32" fillId="0" borderId="169" xfId="0" applyNumberFormat="1" applyFont="1" applyBorder="1" applyAlignment="1">
      <alignment horizontal="left" indent="1"/>
    </xf>
    <xf numFmtId="0" fontId="0" fillId="0" borderId="167" xfId="0" applyBorder="1" applyAlignment="1">
      <alignment horizontal="left" indent="1"/>
    </xf>
    <xf numFmtId="164" fontId="0" fillId="0" borderId="169" xfId="0" applyNumberFormat="1" applyBorder="1"/>
    <xf numFmtId="164" fontId="1" fillId="0" borderId="170" xfId="0" applyNumberFormat="1" applyFont="1" applyBorder="1" applyProtection="1">
      <protection locked="0"/>
    </xf>
    <xf numFmtId="164" fontId="0" fillId="0" borderId="23" xfId="0" applyNumberFormat="1" applyBorder="1"/>
    <xf numFmtId="164" fontId="1" fillId="0" borderId="105" xfId="0" applyNumberFormat="1" applyFont="1" applyBorder="1" applyProtection="1">
      <protection locked="0"/>
    </xf>
    <xf numFmtId="0" fontId="71" fillId="0" borderId="70" xfId="0" applyFont="1" applyBorder="1" applyAlignment="1">
      <alignment vertical="top" wrapText="1"/>
    </xf>
    <xf numFmtId="0" fontId="71" fillId="0" borderId="174" xfId="0" applyFont="1" applyBorder="1" applyAlignment="1">
      <alignment vertical="top" wrapText="1"/>
    </xf>
    <xf numFmtId="0" fontId="71" fillId="0" borderId="168" xfId="0" applyFont="1" applyBorder="1" applyAlignment="1">
      <alignment vertical="top" wrapText="1"/>
    </xf>
    <xf numFmtId="0" fontId="71" fillId="0" borderId="24" xfId="0" applyFont="1" applyBorder="1" applyAlignment="1">
      <alignment vertical="top" wrapText="1"/>
    </xf>
    <xf numFmtId="164" fontId="0" fillId="0" borderId="169" xfId="0" applyNumberFormat="1" applyBorder="1" applyProtection="1">
      <protection locked="0"/>
    </xf>
    <xf numFmtId="8" fontId="71" fillId="0" borderId="71" xfId="0" applyNumberFormat="1" applyFont="1" applyBorder="1" applyAlignment="1">
      <alignment vertical="top"/>
    </xf>
    <xf numFmtId="8" fontId="71" fillId="0" borderId="173" xfId="0" applyNumberFormat="1" applyFont="1" applyBorder="1" applyAlignment="1">
      <alignment vertical="top"/>
    </xf>
    <xf numFmtId="8" fontId="71" fillId="0" borderId="169" xfId="0" applyNumberFormat="1" applyFont="1" applyBorder="1" applyAlignment="1">
      <alignment vertical="top"/>
    </xf>
    <xf numFmtId="0" fontId="71" fillId="0" borderId="169" xfId="0" applyFont="1" applyBorder="1" applyAlignment="1">
      <alignment vertical="top"/>
    </xf>
    <xf numFmtId="0" fontId="71" fillId="0" borderId="4" xfId="0" applyFont="1" applyBorder="1" applyAlignment="1">
      <alignment vertical="top"/>
    </xf>
    <xf numFmtId="0" fontId="71" fillId="0" borderId="15" xfId="0" applyFont="1" applyBorder="1" applyAlignment="1">
      <alignment vertical="top"/>
    </xf>
    <xf numFmtId="8" fontId="71" fillId="0" borderId="15" xfId="0" applyNumberFormat="1" applyFont="1" applyBorder="1" applyAlignment="1">
      <alignment vertical="top"/>
    </xf>
    <xf numFmtId="164" fontId="71" fillId="0" borderId="15" xfId="0" applyNumberFormat="1" applyFont="1" applyBorder="1" applyAlignment="1">
      <alignment vertical="top"/>
    </xf>
    <xf numFmtId="0" fontId="71" fillId="0" borderId="71" xfId="0" applyFont="1" applyBorder="1" applyAlignment="1">
      <alignment vertical="top"/>
    </xf>
    <xf numFmtId="0" fontId="71" fillId="0" borderId="173" xfId="0" applyFont="1" applyBorder="1" applyAlignment="1">
      <alignment vertical="top"/>
    </xf>
    <xf numFmtId="8" fontId="81" fillId="0" borderId="170" xfId="0" applyNumberFormat="1" applyFont="1" applyBorder="1" applyAlignment="1">
      <alignment vertical="top"/>
    </xf>
    <xf numFmtId="0" fontId="0" fillId="0" borderId="174" xfId="0" applyBorder="1" applyAlignment="1">
      <alignment wrapText="1"/>
    </xf>
    <xf numFmtId="0" fontId="0" fillId="0" borderId="168" xfId="0" applyBorder="1" applyAlignment="1">
      <alignment wrapText="1"/>
    </xf>
    <xf numFmtId="164" fontId="0" fillId="0" borderId="173" xfId="0" applyNumberFormat="1" applyBorder="1"/>
    <xf numFmtId="0" fontId="0" fillId="0" borderId="168" xfId="0" applyBorder="1" applyAlignment="1" applyProtection="1">
      <alignment wrapText="1"/>
      <protection locked="0"/>
    </xf>
    <xf numFmtId="0" fontId="82" fillId="0" borderId="0" xfId="0" applyFont="1"/>
    <xf numFmtId="164" fontId="0" fillId="5" borderId="47" xfId="0" applyNumberFormat="1" applyFill="1" applyBorder="1" applyAlignment="1">
      <alignment horizontal="right" indent="1"/>
    </xf>
    <xf numFmtId="0" fontId="71" fillId="19" borderId="0" xfId="0" applyFont="1" applyFill="1" applyAlignment="1">
      <alignment vertical="top" wrapText="1"/>
    </xf>
    <xf numFmtId="8" fontId="71" fillId="19" borderId="137" xfId="0" applyNumberFormat="1" applyFont="1" applyFill="1" applyBorder="1"/>
    <xf numFmtId="8" fontId="71" fillId="19" borderId="0" xfId="0" applyNumberFormat="1" applyFont="1" applyFill="1"/>
    <xf numFmtId="8" fontId="83" fillId="0" borderId="0" xfId="0" applyNumberFormat="1" applyFont="1"/>
    <xf numFmtId="0" fontId="83" fillId="0" borderId="0" xfId="0" applyFont="1"/>
    <xf numFmtId="0" fontId="83" fillId="20" borderId="0" xfId="0" applyFont="1" applyFill="1" applyAlignment="1">
      <alignment wrapText="1"/>
    </xf>
    <xf numFmtId="0" fontId="0" fillId="0" borderId="175" xfId="0" applyBorder="1" applyAlignment="1">
      <alignment horizontal="center" wrapText="1"/>
    </xf>
    <xf numFmtId="164" fontId="0" fillId="0" borderId="4" xfId="0" applyNumberFormat="1" applyBorder="1"/>
    <xf numFmtId="164" fontId="28" fillId="4" borderId="172" xfId="0" applyNumberFormat="1" applyFont="1" applyFill="1" applyBorder="1" applyAlignment="1">
      <alignment horizontal="right" vertical="top"/>
    </xf>
    <xf numFmtId="164" fontId="28" fillId="0" borderId="4" xfId="2" applyNumberFormat="1" applyFont="1" applyFill="1" applyBorder="1" applyAlignment="1" applyProtection="1">
      <alignment horizontal="right" vertical="top"/>
    </xf>
    <xf numFmtId="164" fontId="6" fillId="0" borderId="4" xfId="2" applyNumberFormat="1" applyFont="1" applyFill="1" applyBorder="1" applyAlignment="1" applyProtection="1">
      <alignment horizontal="right" vertical="top"/>
    </xf>
    <xf numFmtId="164" fontId="0" fillId="0" borderId="99" xfId="0" applyNumberFormat="1" applyBorder="1"/>
    <xf numFmtId="164" fontId="6" fillId="6" borderId="166" xfId="0" applyNumberFormat="1" applyFont="1" applyFill="1" applyBorder="1" applyAlignment="1">
      <alignment horizontal="right" vertical="top"/>
    </xf>
    <xf numFmtId="0" fontId="23" fillId="0" borderId="176" xfId="0" applyFont="1" applyBorder="1" applyAlignment="1">
      <alignment horizontal="center" vertical="top" wrapText="1"/>
    </xf>
    <xf numFmtId="0" fontId="0" fillId="0" borderId="169" xfId="0" applyBorder="1" applyAlignment="1">
      <alignment horizontal="center" wrapText="1"/>
    </xf>
    <xf numFmtId="0" fontId="0" fillId="0" borderId="6" xfId="0" applyBorder="1" applyAlignment="1">
      <alignment horizontal="center" wrapText="1"/>
    </xf>
    <xf numFmtId="164" fontId="27" fillId="0" borderId="15" xfId="1" applyNumberFormat="1" applyFont="1" applyFill="1" applyBorder="1" applyAlignment="1" applyProtection="1">
      <alignment horizontal="right" vertical="top"/>
    </xf>
    <xf numFmtId="164" fontId="8" fillId="0" borderId="15" xfId="1" applyNumberFormat="1" applyFill="1" applyBorder="1" applyAlignment="1" applyProtection="1">
      <alignment horizontal="right" vertical="top"/>
    </xf>
    <xf numFmtId="164" fontId="29" fillId="4" borderId="11" xfId="0" applyNumberFormat="1" applyFont="1" applyFill="1" applyBorder="1" applyAlignment="1">
      <alignment horizontal="right" vertical="top"/>
    </xf>
    <xf numFmtId="164" fontId="30" fillId="0" borderId="15" xfId="2" applyNumberFormat="1" applyFont="1" applyFill="1" applyBorder="1" applyAlignment="1" applyProtection="1">
      <alignment horizontal="right" vertical="top"/>
    </xf>
    <xf numFmtId="164" fontId="31" fillId="0" borderId="15" xfId="2" applyNumberFormat="1" applyFont="1" applyFill="1" applyBorder="1" applyAlignment="1" applyProtection="1">
      <alignment horizontal="right" vertical="top"/>
    </xf>
    <xf numFmtId="164" fontId="27" fillId="0" borderId="15" xfId="1" applyNumberFormat="1" applyFont="1" applyFill="1" applyBorder="1" applyAlignment="1" applyProtection="1">
      <alignment horizontal="right" vertical="top" wrapText="1"/>
    </xf>
    <xf numFmtId="164" fontId="27" fillId="0" borderId="15" xfId="1" applyNumberFormat="1" applyFont="1" applyBorder="1" applyAlignment="1">
      <alignment horizontal="right" vertical="top"/>
    </xf>
    <xf numFmtId="164" fontId="8" fillId="0" borderId="15" xfId="1" applyNumberFormat="1" applyFill="1" applyBorder="1" applyAlignment="1">
      <alignment horizontal="right" vertical="top"/>
    </xf>
    <xf numFmtId="164" fontId="27" fillId="0" borderId="15" xfId="1" applyNumberFormat="1" applyFont="1" applyFill="1" applyBorder="1" applyAlignment="1">
      <alignment horizontal="right" vertical="top"/>
    </xf>
    <xf numFmtId="164" fontId="27" fillId="0" borderId="13" xfId="1" applyNumberFormat="1" applyFont="1" applyBorder="1" applyAlignment="1">
      <alignment horizontal="right" vertical="top"/>
    </xf>
    <xf numFmtId="164" fontId="6" fillId="6" borderId="102" xfId="0" applyNumberFormat="1" applyFont="1" applyFill="1" applyBorder="1" applyAlignment="1">
      <alignment horizontal="right" vertical="top"/>
    </xf>
    <xf numFmtId="164" fontId="0" fillId="0" borderId="4" xfId="0" applyNumberFormat="1" applyBorder="1" applyProtection="1">
      <protection locked="0"/>
    </xf>
    <xf numFmtId="164" fontId="6" fillId="0" borderId="4" xfId="2" applyNumberFormat="1" applyFont="1" applyFill="1" applyBorder="1" applyAlignment="1" applyProtection="1">
      <alignment horizontal="right" vertical="top"/>
      <protection locked="0"/>
    </xf>
    <xf numFmtId="164" fontId="0" fillId="0" borderId="99" xfId="0" applyNumberFormat="1" applyBorder="1" applyProtection="1">
      <protection locked="0"/>
    </xf>
    <xf numFmtId="164" fontId="6" fillId="6" borderId="132" xfId="0" applyNumberFormat="1" applyFont="1" applyFill="1" applyBorder="1" applyAlignment="1">
      <alignment horizontal="right" vertical="top"/>
    </xf>
    <xf numFmtId="0" fontId="23" fillId="0" borderId="176" xfId="0" applyFont="1" applyBorder="1" applyAlignment="1">
      <alignment vertical="top" wrapText="1"/>
    </xf>
    <xf numFmtId="0" fontId="6" fillId="0" borderId="16" xfId="2" applyFont="1" applyFill="1" applyBorder="1" applyAlignment="1" applyProtection="1">
      <alignment horizontal="left" vertical="top"/>
    </xf>
    <xf numFmtId="0" fontId="28" fillId="0" borderId="14" xfId="2" applyFont="1" applyFill="1" applyBorder="1" applyAlignment="1" applyProtection="1">
      <alignment vertical="top"/>
    </xf>
    <xf numFmtId="0" fontId="28" fillId="0" borderId="16" xfId="2" applyFont="1" applyFill="1" applyBorder="1" applyAlignment="1" applyProtection="1">
      <alignment vertical="top"/>
    </xf>
    <xf numFmtId="0" fontId="6" fillId="0" borderId="16" xfId="2" applyFont="1" applyFill="1" applyBorder="1" applyAlignment="1" applyProtection="1">
      <alignment horizontal="left" vertical="top" wrapText="1"/>
    </xf>
    <xf numFmtId="0" fontId="6" fillId="0" borderId="16" xfId="0" applyFont="1" applyBorder="1" applyAlignment="1">
      <alignment horizontal="left" vertical="top"/>
    </xf>
    <xf numFmtId="0" fontId="13" fillId="19" borderId="16" xfId="0" applyFont="1" applyFill="1" applyBorder="1" applyAlignment="1">
      <alignment wrapText="1"/>
    </xf>
    <xf numFmtId="164" fontId="47" fillId="0" borderId="30" xfId="0" applyNumberFormat="1" applyFont="1" applyBorder="1"/>
    <xf numFmtId="0" fontId="80" fillId="0" borderId="0" xfId="0" applyFont="1"/>
    <xf numFmtId="0" fontId="47" fillId="0" borderId="0" xfId="0" applyFont="1"/>
    <xf numFmtId="0" fontId="84" fillId="0" borderId="0" xfId="0" applyFont="1"/>
    <xf numFmtId="0" fontId="0" fillId="0" borderId="4" xfId="0" applyBorder="1" applyAlignment="1">
      <alignment horizontal="center" wrapText="1"/>
    </xf>
    <xf numFmtId="0" fontId="23" fillId="0" borderId="49" xfId="0" applyFont="1" applyBorder="1" applyAlignment="1">
      <alignment horizontal="center" vertical="top" wrapText="1"/>
    </xf>
    <xf numFmtId="164" fontId="8" fillId="0" borderId="15" xfId="1" applyNumberFormat="1" applyFill="1" applyBorder="1" applyAlignment="1" applyProtection="1">
      <alignment horizontal="right" vertical="top" wrapText="1"/>
    </xf>
    <xf numFmtId="164" fontId="8" fillId="0" borderId="15" xfId="1" applyNumberFormat="1" applyBorder="1" applyAlignment="1">
      <alignment horizontal="right" vertical="top"/>
    </xf>
    <xf numFmtId="164" fontId="8" fillId="0" borderId="13" xfId="1" applyNumberFormat="1" applyBorder="1" applyAlignment="1">
      <alignment horizontal="right" vertical="top"/>
    </xf>
    <xf numFmtId="164" fontId="29" fillId="4" borderId="130" xfId="0" applyNumberFormat="1" applyFont="1" applyFill="1" applyBorder="1" applyAlignment="1">
      <alignment horizontal="right" vertical="top"/>
    </xf>
    <xf numFmtId="0" fontId="0" fillId="0" borderId="79" xfId="0" applyBorder="1" applyAlignment="1">
      <alignment wrapText="1"/>
    </xf>
    <xf numFmtId="0" fontId="0" fillId="0" borderId="81" xfId="0" applyBorder="1" applyAlignment="1">
      <alignment wrapText="1"/>
    </xf>
    <xf numFmtId="164" fontId="29" fillId="4" borderId="10" xfId="0" applyNumberFormat="1" applyFont="1" applyFill="1" applyBorder="1" applyAlignment="1">
      <alignment horizontal="right" vertical="top"/>
    </xf>
    <xf numFmtId="164" fontId="6" fillId="0" borderId="14" xfId="2" applyNumberFormat="1" applyFont="1" applyFill="1" applyBorder="1" applyAlignment="1" applyProtection="1">
      <alignment horizontal="right" vertical="top" wrapText="1"/>
    </xf>
    <xf numFmtId="164" fontId="6" fillId="0" borderId="14" xfId="0" applyNumberFormat="1" applyFont="1" applyBorder="1" applyAlignment="1">
      <alignment horizontal="right" vertical="top"/>
    </xf>
    <xf numFmtId="164" fontId="6" fillId="6" borderId="10" xfId="0" applyNumberFormat="1" applyFont="1" applyFill="1" applyBorder="1" applyAlignment="1">
      <alignment horizontal="right" vertical="top"/>
    </xf>
    <xf numFmtId="164" fontId="6" fillId="6" borderId="12" xfId="0" applyNumberFormat="1" applyFont="1" applyFill="1" applyBorder="1" applyAlignment="1">
      <alignment horizontal="right" vertical="top"/>
    </xf>
    <xf numFmtId="0" fontId="13" fillId="0" borderId="0" xfId="0" applyFont="1" applyAlignment="1">
      <alignment horizontal="left" vertical="top"/>
    </xf>
    <xf numFmtId="0" fontId="13" fillId="0" borderId="0" xfId="0" applyFont="1" applyAlignment="1">
      <alignment horizontal="left" vertical="top" wrapText="1"/>
    </xf>
    <xf numFmtId="164" fontId="13" fillId="0" borderId="0" xfId="0" applyNumberFormat="1" applyFont="1" applyAlignment="1">
      <alignment horizontal="right" vertical="top"/>
    </xf>
    <xf numFmtId="0" fontId="0" fillId="0" borderId="169" xfId="0" applyBorder="1" applyAlignment="1">
      <alignment wrapText="1"/>
    </xf>
    <xf numFmtId="164" fontId="8" fillId="0" borderId="23" xfId="1" applyNumberFormat="1" applyBorder="1" applyAlignment="1">
      <alignment horizontal="right" vertical="top"/>
    </xf>
    <xf numFmtId="164" fontId="29" fillId="4" borderId="172" xfId="0" applyNumberFormat="1" applyFont="1" applyFill="1" applyBorder="1" applyAlignment="1">
      <alignment horizontal="right" vertical="top"/>
    </xf>
    <xf numFmtId="170" fontId="28" fillId="0" borderId="4" xfId="2" applyNumberFormat="1" applyFont="1" applyFill="1" applyBorder="1" applyAlignment="1" applyProtection="1">
      <alignment vertical="top"/>
    </xf>
    <xf numFmtId="164" fontId="6" fillId="0" borderId="4" xfId="2" applyNumberFormat="1" applyFont="1" applyFill="1" applyBorder="1" applyAlignment="1" applyProtection="1">
      <alignment horizontal="right" vertical="top" wrapText="1"/>
      <protection locked="0"/>
    </xf>
    <xf numFmtId="164" fontId="6" fillId="0" borderId="4" xfId="0" applyNumberFormat="1" applyFont="1" applyBorder="1" applyAlignment="1" applyProtection="1">
      <alignment horizontal="right" vertical="top"/>
      <protection locked="0"/>
    </xf>
    <xf numFmtId="164" fontId="6" fillId="0" borderId="100" xfId="0" applyNumberFormat="1" applyFont="1" applyBorder="1" applyAlignment="1" applyProtection="1">
      <alignment horizontal="right" vertical="top"/>
      <protection locked="0"/>
    </xf>
    <xf numFmtId="170" fontId="6" fillId="6" borderId="166" xfId="0" applyNumberFormat="1" applyFont="1" applyFill="1" applyBorder="1" applyAlignment="1">
      <alignment horizontal="right" vertical="top"/>
    </xf>
    <xf numFmtId="164" fontId="0" fillId="0" borderId="100" xfId="0" applyNumberFormat="1" applyBorder="1" applyProtection="1">
      <protection locked="0"/>
    </xf>
    <xf numFmtId="0" fontId="0" fillId="0" borderId="80" xfId="0" applyBorder="1" applyAlignment="1">
      <alignment horizontal="center" wrapText="1"/>
    </xf>
    <xf numFmtId="164" fontId="6" fillId="0" borderId="41" xfId="0" applyNumberFormat="1" applyFont="1" applyBorder="1" applyAlignment="1">
      <alignment horizontal="right" vertical="top"/>
    </xf>
    <xf numFmtId="0" fontId="6" fillId="0" borderId="42" xfId="0" applyFont="1" applyBorder="1" applyAlignment="1">
      <alignment horizontal="left" vertical="top"/>
    </xf>
    <xf numFmtId="164" fontId="18" fillId="7" borderId="11" xfId="1" applyNumberFormat="1" applyFont="1" applyFill="1" applyBorder="1"/>
    <xf numFmtId="164" fontId="18" fillId="3" borderId="11" xfId="1" applyNumberFormat="1" applyFont="1" applyFill="1" applyBorder="1"/>
    <xf numFmtId="164" fontId="0" fillId="7" borderId="172" xfId="0" applyNumberFormat="1" applyFill="1" applyBorder="1"/>
    <xf numFmtId="164" fontId="32" fillId="3" borderId="0" xfId="0" applyNumberFormat="1" applyFont="1" applyFill="1"/>
    <xf numFmtId="164" fontId="32" fillId="3" borderId="0" xfId="1" applyNumberFormat="1" applyFont="1" applyFill="1"/>
    <xf numFmtId="0" fontId="0" fillId="12" borderId="72" xfId="0" applyFill="1" applyBorder="1"/>
    <xf numFmtId="164" fontId="0" fillId="12" borderId="162" xfId="0" applyNumberFormat="1" applyFill="1" applyBorder="1"/>
    <xf numFmtId="164" fontId="0" fillId="12" borderId="167" xfId="0" applyNumberFormat="1" applyFill="1" applyBorder="1"/>
    <xf numFmtId="164" fontId="0" fillId="12" borderId="129" xfId="0" applyNumberFormat="1" applyFill="1" applyBorder="1"/>
    <xf numFmtId="164" fontId="23" fillId="7" borderId="0" xfId="0" applyNumberFormat="1" applyFont="1" applyFill="1"/>
    <xf numFmtId="164" fontId="32" fillId="7" borderId="0" xfId="1" applyNumberFormat="1" applyFont="1" applyFill="1"/>
    <xf numFmtId="164" fontId="0" fillId="7" borderId="0" xfId="1" applyNumberFormat="1" applyFont="1" applyFill="1"/>
    <xf numFmtId="164" fontId="32" fillId="7" borderId="0" xfId="0" applyNumberFormat="1" applyFont="1" applyFill="1"/>
    <xf numFmtId="164" fontId="23" fillId="3" borderId="29" xfId="0" applyNumberFormat="1" applyFont="1" applyFill="1" applyBorder="1"/>
    <xf numFmtId="164" fontId="0" fillId="7" borderId="12" xfId="0" applyNumberFormat="1" applyFill="1" applyBorder="1"/>
    <xf numFmtId="0" fontId="22" fillId="0" borderId="98" xfId="0" applyFont="1" applyBorder="1" applyAlignment="1">
      <alignment vertical="top" wrapText="1"/>
    </xf>
    <xf numFmtId="0" fontId="23" fillId="0" borderId="172" xfId="0" applyFont="1" applyBorder="1" applyAlignment="1">
      <alignment vertical="top" wrapText="1"/>
    </xf>
    <xf numFmtId="0" fontId="0" fillId="0" borderId="180" xfId="0" applyBorder="1" applyAlignment="1">
      <alignment wrapText="1"/>
    </xf>
    <xf numFmtId="0" fontId="0" fillId="0" borderId="29" xfId="0" applyBorder="1" applyAlignment="1">
      <alignment wrapText="1"/>
    </xf>
    <xf numFmtId="164" fontId="6" fillId="0" borderId="29" xfId="2" applyNumberFormat="1" applyFont="1" applyFill="1" applyBorder="1" applyAlignment="1" applyProtection="1">
      <alignment horizontal="right" vertical="top"/>
    </xf>
    <xf numFmtId="164" fontId="6" fillId="0" borderId="29" xfId="2" applyNumberFormat="1" applyFont="1" applyFill="1" applyBorder="1" applyAlignment="1" applyProtection="1">
      <alignment horizontal="right" vertical="top"/>
      <protection locked="0"/>
    </xf>
    <xf numFmtId="164" fontId="28" fillId="4" borderId="52" xfId="0" applyNumberFormat="1" applyFont="1" applyFill="1" applyBorder="1" applyAlignment="1">
      <alignment horizontal="right" vertical="top"/>
    </xf>
    <xf numFmtId="164" fontId="28" fillId="4" borderId="30" xfId="0" applyNumberFormat="1" applyFont="1" applyFill="1" applyBorder="1" applyAlignment="1">
      <alignment horizontal="right" vertical="top"/>
    </xf>
    <xf numFmtId="164" fontId="28" fillId="4" borderId="30" xfId="0" applyNumberFormat="1" applyFont="1" applyFill="1" applyBorder="1" applyAlignment="1" applyProtection="1">
      <alignment horizontal="right" vertical="top"/>
      <protection locked="0"/>
    </xf>
    <xf numFmtId="0" fontId="28" fillId="0" borderId="29" xfId="2" applyFont="1" applyFill="1" applyBorder="1" applyAlignment="1" applyProtection="1">
      <alignment vertical="top"/>
    </xf>
    <xf numFmtId="0" fontId="28" fillId="0" borderId="29" xfId="2" applyFont="1" applyFill="1" applyBorder="1" applyAlignment="1" applyProtection="1">
      <alignment vertical="top"/>
      <protection locked="0"/>
    </xf>
    <xf numFmtId="8" fontId="6" fillId="0" borderId="29" xfId="2" applyNumberFormat="1" applyFont="1" applyFill="1" applyBorder="1" applyAlignment="1" applyProtection="1">
      <alignment horizontal="right" vertical="top"/>
    </xf>
    <xf numFmtId="8" fontId="6" fillId="0" borderId="0" xfId="2" applyNumberFormat="1" applyFont="1" applyFill="1" applyBorder="1" applyAlignment="1" applyProtection="1">
      <alignment horizontal="right" vertical="top"/>
    </xf>
    <xf numFmtId="164" fontId="31" fillId="0" borderId="29" xfId="2" applyNumberFormat="1" applyFont="1" applyFill="1" applyBorder="1" applyAlignment="1" applyProtection="1">
      <alignment horizontal="right" vertical="top"/>
      <protection locked="0"/>
    </xf>
    <xf numFmtId="164" fontId="0" fillId="0" borderId="29" xfId="0" applyNumberFormat="1" applyBorder="1" applyProtection="1">
      <protection locked="0"/>
    </xf>
    <xf numFmtId="8" fontId="6" fillId="0" borderId="0" xfId="2" applyNumberFormat="1" applyFont="1" applyFill="1" applyBorder="1" applyAlignment="1" applyProtection="1">
      <alignment horizontal="right" vertical="top" wrapText="1"/>
    </xf>
    <xf numFmtId="8" fontId="6" fillId="0" borderId="0" xfId="0" applyNumberFormat="1" applyFont="1" applyAlignment="1">
      <alignment horizontal="right" vertical="top"/>
    </xf>
    <xf numFmtId="164" fontId="6" fillId="6" borderId="98" xfId="0" applyNumberFormat="1" applyFont="1" applyFill="1" applyBorder="1" applyAlignment="1">
      <alignment horizontal="right" vertical="top"/>
    </xf>
    <xf numFmtId="164" fontId="6" fillId="6" borderId="33" xfId="0" applyNumberFormat="1" applyFont="1" applyFill="1" applyBorder="1" applyAlignment="1">
      <alignment horizontal="right" vertical="top"/>
    </xf>
    <xf numFmtId="164" fontId="28" fillId="0" borderId="0" xfId="0" applyNumberFormat="1" applyFont="1" applyAlignment="1">
      <alignment horizontal="right" vertical="top"/>
    </xf>
    <xf numFmtId="0" fontId="11" fillId="21" borderId="0" xfId="0" applyFont="1" applyFill="1" applyAlignment="1" applyProtection="1">
      <alignment horizontal="left" vertical="top"/>
      <protection locked="0"/>
    </xf>
    <xf numFmtId="0" fontId="11" fillId="21" borderId="0" xfId="0" applyFont="1" applyFill="1" applyAlignment="1">
      <alignment horizontal="left" vertical="top"/>
    </xf>
    <xf numFmtId="0" fontId="28" fillId="21" borderId="0" xfId="0" applyFont="1" applyFill="1" applyAlignment="1">
      <alignment horizontal="right" vertical="top"/>
    </xf>
    <xf numFmtId="164" fontId="28" fillId="21" borderId="0" xfId="0" applyNumberFormat="1" applyFont="1" applyFill="1" applyAlignment="1">
      <alignment horizontal="right" vertical="top"/>
    </xf>
    <xf numFmtId="0" fontId="0" fillId="21" borderId="0" xfId="0" applyFill="1"/>
    <xf numFmtId="0" fontId="86" fillId="0" borderId="0" xfId="0" applyFont="1" applyAlignment="1">
      <alignment horizontal="left" vertical="top"/>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Alignment="1">
      <alignment horizontal="center" vertical="top"/>
    </xf>
    <xf numFmtId="0" fontId="0" fillId="0" borderId="0" xfId="0" applyAlignment="1">
      <alignment horizontal="left" vertical="center" wrapText="1"/>
    </xf>
    <xf numFmtId="0" fontId="86" fillId="0" borderId="0" xfId="0" applyFont="1" applyAlignment="1" applyProtection="1">
      <alignment horizontal="left" vertical="top"/>
      <protection locked="0"/>
    </xf>
    <xf numFmtId="0" fontId="0" fillId="0" borderId="0" xfId="0" applyAlignment="1">
      <alignment vertical="top" wrapText="1"/>
    </xf>
    <xf numFmtId="0" fontId="23" fillId="0" borderId="0" xfId="0" applyFont="1" applyAlignment="1">
      <alignment horizontal="center" vertical="top" wrapText="1"/>
    </xf>
    <xf numFmtId="0" fontId="0" fillId="0" borderId="0" xfId="0" applyAlignment="1">
      <alignment vertical="center" wrapText="1"/>
    </xf>
    <xf numFmtId="0" fontId="22" fillId="0" borderId="0" xfId="0" applyFont="1" applyAlignment="1">
      <alignment horizontal="right" vertical="center" wrapText="1"/>
    </xf>
    <xf numFmtId="0" fontId="22" fillId="18" borderId="0" xfId="0" applyFont="1" applyFill="1" applyAlignment="1">
      <alignment vertical="center"/>
    </xf>
    <xf numFmtId="0" fontId="22" fillId="18" borderId="0" xfId="0" applyFont="1" applyFill="1" applyAlignment="1">
      <alignment horizontal="center" vertical="center" wrapText="1"/>
    </xf>
    <xf numFmtId="0" fontId="22" fillId="5" borderId="0" xfId="0" applyFont="1" applyFill="1" applyAlignment="1">
      <alignment vertical="center"/>
    </xf>
    <xf numFmtId="0" fontId="22" fillId="5" borderId="0" xfId="0" applyFont="1" applyFill="1" applyAlignment="1">
      <alignment horizontal="center" vertical="center" wrapText="1"/>
    </xf>
    <xf numFmtId="0" fontId="22" fillId="5" borderId="0" xfId="0" applyFont="1" applyFill="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wrapText="1"/>
    </xf>
    <xf numFmtId="0" fontId="5" fillId="23" borderId="0" xfId="0" applyFont="1" applyFill="1"/>
    <xf numFmtId="0" fontId="23" fillId="23" borderId="177" xfId="0" applyFont="1" applyFill="1" applyBorder="1" applyAlignment="1">
      <alignment vertical="top" wrapText="1"/>
    </xf>
    <xf numFmtId="0" fontId="23" fillId="23" borderId="181" xfId="0" applyFont="1" applyFill="1" applyBorder="1" applyAlignment="1">
      <alignment vertical="top" wrapText="1"/>
    </xf>
    <xf numFmtId="0" fontId="23" fillId="23" borderId="182" xfId="0" applyFont="1" applyFill="1" applyBorder="1" applyAlignment="1">
      <alignment vertical="top" wrapText="1"/>
    </xf>
    <xf numFmtId="164" fontId="23" fillId="23" borderId="177" xfId="0" applyNumberFormat="1" applyFont="1" applyFill="1" applyBorder="1"/>
    <xf numFmtId="164" fontId="23" fillId="23" borderId="178" xfId="0" applyNumberFormat="1" applyFont="1" applyFill="1" applyBorder="1"/>
    <xf numFmtId="164" fontId="23" fillId="23" borderId="183" xfId="0" applyNumberFormat="1" applyFont="1" applyFill="1" applyBorder="1"/>
    <xf numFmtId="164" fontId="23" fillId="23" borderId="179" xfId="0" applyNumberFormat="1" applyFont="1" applyFill="1" applyBorder="1"/>
    <xf numFmtId="0" fontId="23" fillId="23" borderId="0" xfId="0" applyFont="1" applyFill="1"/>
    <xf numFmtId="0" fontId="23" fillId="23" borderId="174" xfId="0" applyFont="1" applyFill="1" applyBorder="1" applyAlignment="1" applyProtection="1">
      <alignment vertical="top" wrapText="1"/>
      <protection locked="0"/>
    </xf>
    <xf numFmtId="173" fontId="23" fillId="23" borderId="150" xfId="0" applyNumberFormat="1" applyFont="1" applyFill="1" applyBorder="1" applyAlignment="1" applyProtection="1">
      <alignment vertical="top" wrapText="1"/>
      <protection locked="0"/>
    </xf>
    <xf numFmtId="0" fontId="23" fillId="23" borderId="164" xfId="0" applyFont="1" applyFill="1" applyBorder="1" applyAlignment="1" applyProtection="1">
      <alignment vertical="top" wrapText="1"/>
      <protection locked="0"/>
    </xf>
    <xf numFmtId="164" fontId="23" fillId="23" borderId="174" xfId="0" applyNumberFormat="1" applyFont="1" applyFill="1" applyBorder="1" applyProtection="1">
      <protection locked="0"/>
    </xf>
    <xf numFmtId="164" fontId="23" fillId="23" borderId="173" xfId="0" applyNumberFormat="1" applyFont="1" applyFill="1" applyBorder="1" applyProtection="1">
      <protection locked="0"/>
    </xf>
    <xf numFmtId="164" fontId="23" fillId="23" borderId="162" xfId="0" applyNumberFormat="1" applyFont="1" applyFill="1" applyBorder="1" applyProtection="1">
      <protection locked="0"/>
    </xf>
    <xf numFmtId="164" fontId="23" fillId="23" borderId="156" xfId="0" applyNumberFormat="1" applyFont="1" applyFill="1" applyBorder="1" applyProtection="1">
      <protection locked="0"/>
    </xf>
    <xf numFmtId="0" fontId="23" fillId="23" borderId="168" xfId="0" applyFont="1" applyFill="1" applyBorder="1" applyAlignment="1" applyProtection="1">
      <alignment vertical="top" wrapText="1"/>
      <protection locked="0"/>
    </xf>
    <xf numFmtId="173" fontId="23" fillId="23" borderId="6" xfId="0" applyNumberFormat="1" applyFont="1" applyFill="1" applyBorder="1" applyAlignment="1" applyProtection="1">
      <alignment vertical="top" wrapText="1"/>
      <protection locked="0"/>
    </xf>
    <xf numFmtId="0" fontId="23" fillId="23" borderId="7" xfId="0" applyFont="1" applyFill="1" applyBorder="1" applyAlignment="1" applyProtection="1">
      <alignment vertical="top" wrapText="1"/>
      <protection locked="0"/>
    </xf>
    <xf numFmtId="164" fontId="23" fillId="23" borderId="46" xfId="0" applyNumberFormat="1" applyFont="1" applyFill="1" applyBorder="1" applyProtection="1">
      <protection locked="0"/>
    </xf>
    <xf numFmtId="164" fontId="23" fillId="23" borderId="8" xfId="0" applyNumberFormat="1" applyFont="1" applyFill="1" applyBorder="1" applyProtection="1">
      <protection locked="0"/>
    </xf>
    <xf numFmtId="164" fontId="23" fillId="23" borderId="168" xfId="0" applyNumberFormat="1" applyFont="1" applyFill="1" applyBorder="1" applyProtection="1">
      <protection locked="0"/>
    </xf>
    <xf numFmtId="164" fontId="23" fillId="23" borderId="170" xfId="0" applyNumberFormat="1" applyFont="1" applyFill="1" applyBorder="1" applyProtection="1">
      <protection locked="0"/>
    </xf>
    <xf numFmtId="0" fontId="23" fillId="23" borderId="134" xfId="0" applyFont="1" applyFill="1" applyBorder="1" applyAlignment="1">
      <alignment vertical="top" wrapText="1"/>
    </xf>
    <xf numFmtId="0" fontId="23" fillId="23" borderId="28" xfId="0" applyFont="1" applyFill="1" applyBorder="1" applyAlignment="1">
      <alignment vertical="top" wrapText="1"/>
    </xf>
    <xf numFmtId="0" fontId="23" fillId="23" borderId="184" xfId="0" applyFont="1" applyFill="1" applyBorder="1" applyAlignment="1">
      <alignment vertical="top" wrapText="1"/>
    </xf>
    <xf numFmtId="164" fontId="23" fillId="23" borderId="134" xfId="0" applyNumberFormat="1" applyFont="1" applyFill="1" applyBorder="1"/>
    <xf numFmtId="164" fontId="23" fillId="23" borderId="124" xfId="0" applyNumberFormat="1" applyFont="1" applyFill="1" applyBorder="1"/>
    <xf numFmtId="0" fontId="5" fillId="24" borderId="0" xfId="0" applyFont="1" applyFill="1" applyAlignment="1">
      <alignment wrapText="1"/>
    </xf>
    <xf numFmtId="0" fontId="23" fillId="24" borderId="177" xfId="0" applyFont="1" applyFill="1" applyBorder="1" applyAlignment="1">
      <alignment vertical="top" wrapText="1"/>
    </xf>
    <xf numFmtId="0" fontId="23" fillId="24" borderId="181" xfId="0" applyFont="1" applyFill="1" applyBorder="1" applyAlignment="1">
      <alignment vertical="top" wrapText="1"/>
    </xf>
    <xf numFmtId="0" fontId="23" fillId="24" borderId="182" xfId="0" applyFont="1" applyFill="1" applyBorder="1" applyAlignment="1">
      <alignment vertical="top" wrapText="1"/>
    </xf>
    <xf numFmtId="164" fontId="23" fillId="24" borderId="177" xfId="0" applyNumberFormat="1" applyFont="1" applyFill="1" applyBorder="1"/>
    <xf numFmtId="164" fontId="23" fillId="24" borderId="178" xfId="0" applyNumberFormat="1" applyFont="1" applyFill="1" applyBorder="1"/>
    <xf numFmtId="164" fontId="23" fillId="24" borderId="183" xfId="0" applyNumberFormat="1" applyFont="1" applyFill="1" applyBorder="1"/>
    <xf numFmtId="164" fontId="23" fillId="24" borderId="179" xfId="0" applyNumberFormat="1" applyFont="1" applyFill="1" applyBorder="1"/>
    <xf numFmtId="0" fontId="23" fillId="24" borderId="0" xfId="0" applyFont="1" applyFill="1"/>
    <xf numFmtId="0" fontId="23" fillId="24" borderId="174" xfId="0" applyFont="1" applyFill="1" applyBorder="1" applyAlignment="1" applyProtection="1">
      <alignment vertical="top" wrapText="1"/>
      <protection locked="0"/>
    </xf>
    <xf numFmtId="0" fontId="23" fillId="24" borderId="150" xfId="0" applyFont="1" applyFill="1" applyBorder="1" applyAlignment="1" applyProtection="1">
      <alignment vertical="top" wrapText="1"/>
      <protection locked="0"/>
    </xf>
    <xf numFmtId="0" fontId="23" fillId="24" borderId="164" xfId="0" applyFont="1" applyFill="1" applyBorder="1" applyAlignment="1" applyProtection="1">
      <alignment vertical="top" wrapText="1"/>
      <protection locked="0"/>
    </xf>
    <xf numFmtId="164" fontId="23" fillId="24" borderId="174" xfId="0" applyNumberFormat="1" applyFont="1" applyFill="1" applyBorder="1" applyProtection="1">
      <protection locked="0"/>
    </xf>
    <xf numFmtId="164" fontId="23" fillId="24" borderId="173" xfId="0" applyNumberFormat="1" applyFont="1" applyFill="1" applyBorder="1" applyProtection="1">
      <protection locked="0"/>
    </xf>
    <xf numFmtId="164" fontId="23" fillId="24" borderId="162" xfId="0" applyNumberFormat="1" applyFont="1" applyFill="1" applyBorder="1" applyProtection="1">
      <protection locked="0"/>
    </xf>
    <xf numFmtId="164" fontId="23" fillId="24" borderId="156" xfId="0" applyNumberFormat="1" applyFont="1" applyFill="1" applyBorder="1" applyProtection="1">
      <protection locked="0"/>
    </xf>
    <xf numFmtId="0" fontId="23" fillId="24" borderId="168" xfId="0" applyFont="1" applyFill="1" applyBorder="1" applyAlignment="1" applyProtection="1">
      <alignment vertical="top" wrapText="1"/>
      <protection locked="0"/>
    </xf>
    <xf numFmtId="0" fontId="23" fillId="24" borderId="6" xfId="0" applyFont="1" applyFill="1" applyBorder="1" applyAlignment="1" applyProtection="1">
      <alignment vertical="top" wrapText="1"/>
      <protection locked="0"/>
    </xf>
    <xf numFmtId="0" fontId="23" fillId="24" borderId="7" xfId="0" applyFont="1" applyFill="1" applyBorder="1" applyAlignment="1" applyProtection="1">
      <alignment vertical="top" wrapText="1"/>
      <protection locked="0"/>
    </xf>
    <xf numFmtId="164" fontId="23" fillId="24" borderId="168" xfId="0" applyNumberFormat="1" applyFont="1" applyFill="1" applyBorder="1" applyProtection="1">
      <protection locked="0"/>
    </xf>
    <xf numFmtId="164" fontId="23" fillId="24" borderId="46" xfId="0" applyNumberFormat="1" applyFont="1" applyFill="1" applyBorder="1" applyProtection="1">
      <protection locked="0"/>
    </xf>
    <xf numFmtId="164" fontId="23" fillId="24" borderId="8" xfId="0" applyNumberFormat="1" applyFont="1" applyFill="1" applyBorder="1" applyProtection="1">
      <protection locked="0"/>
    </xf>
    <xf numFmtId="164" fontId="23" fillId="24" borderId="170" xfId="0" applyNumberFormat="1" applyFont="1" applyFill="1" applyBorder="1" applyProtection="1">
      <protection locked="0"/>
    </xf>
    <xf numFmtId="0" fontId="23" fillId="24" borderId="134" xfId="0" applyFont="1" applyFill="1" applyBorder="1" applyAlignment="1">
      <alignment vertical="top" wrapText="1"/>
    </xf>
    <xf numFmtId="0" fontId="23" fillId="24" borderId="28" xfId="0" applyFont="1" applyFill="1" applyBorder="1" applyAlignment="1">
      <alignment vertical="top" wrapText="1"/>
    </xf>
    <xf numFmtId="0" fontId="23" fillId="24" borderId="184" xfId="0" applyFont="1" applyFill="1" applyBorder="1" applyAlignment="1">
      <alignment vertical="top" wrapText="1"/>
    </xf>
    <xf numFmtId="164" fontId="23" fillId="24" borderId="134" xfId="0" applyNumberFormat="1" applyFont="1" applyFill="1" applyBorder="1"/>
    <xf numFmtId="164" fontId="23" fillId="24" borderId="124" xfId="0" applyNumberFormat="1" applyFont="1" applyFill="1" applyBorder="1"/>
    <xf numFmtId="164" fontId="23" fillId="24" borderId="185" xfId="0" applyNumberFormat="1" applyFont="1" applyFill="1" applyBorder="1"/>
    <xf numFmtId="164" fontId="23" fillId="24" borderId="125" xfId="0" applyNumberFormat="1" applyFont="1" applyFill="1" applyBorder="1"/>
    <xf numFmtId="0" fontId="5" fillId="25" borderId="0" xfId="0" applyFont="1" applyFill="1"/>
    <xf numFmtId="0" fontId="23" fillId="25" borderId="177" xfId="0" applyFont="1" applyFill="1" applyBorder="1" applyAlignment="1">
      <alignment vertical="top" wrapText="1"/>
    </xf>
    <xf numFmtId="0" fontId="23" fillId="25" borderId="181" xfId="0" applyFont="1" applyFill="1" applyBorder="1" applyAlignment="1">
      <alignment vertical="top" wrapText="1"/>
    </xf>
    <xf numFmtId="0" fontId="23" fillId="25" borderId="182" xfId="0" applyFont="1" applyFill="1" applyBorder="1" applyAlignment="1">
      <alignment vertical="top" wrapText="1"/>
    </xf>
    <xf numFmtId="164" fontId="23" fillId="25" borderId="177" xfId="0" applyNumberFormat="1" applyFont="1" applyFill="1" applyBorder="1"/>
    <xf numFmtId="164" fontId="23" fillId="25" borderId="178" xfId="0" applyNumberFormat="1" applyFont="1" applyFill="1" applyBorder="1"/>
    <xf numFmtId="164" fontId="23" fillId="25" borderId="183" xfId="0" applyNumberFormat="1" applyFont="1" applyFill="1" applyBorder="1"/>
    <xf numFmtId="164" fontId="23" fillId="25" borderId="179" xfId="0" applyNumberFormat="1" applyFont="1" applyFill="1" applyBorder="1"/>
    <xf numFmtId="0" fontId="23" fillId="25" borderId="0" xfId="0" applyFont="1" applyFill="1"/>
    <xf numFmtId="0" fontId="23" fillId="25" borderId="174" xfId="0" applyFont="1" applyFill="1" applyBorder="1" applyAlignment="1" applyProtection="1">
      <alignment vertical="top" wrapText="1"/>
      <protection locked="0"/>
    </xf>
    <xf numFmtId="0" fontId="23" fillId="25" borderId="150" xfId="0" applyFont="1" applyFill="1" applyBorder="1" applyAlignment="1" applyProtection="1">
      <alignment vertical="top" wrapText="1"/>
      <protection locked="0"/>
    </xf>
    <xf numFmtId="0" fontId="23" fillId="25" borderId="164" xfId="0" applyFont="1" applyFill="1" applyBorder="1" applyAlignment="1" applyProtection="1">
      <alignment vertical="top" wrapText="1"/>
      <protection locked="0"/>
    </xf>
    <xf numFmtId="164" fontId="23" fillId="25" borderId="174" xfId="0" applyNumberFormat="1" applyFont="1" applyFill="1" applyBorder="1" applyProtection="1">
      <protection locked="0"/>
    </xf>
    <xf numFmtId="164" fontId="23" fillId="25" borderId="173" xfId="0" applyNumberFormat="1" applyFont="1" applyFill="1" applyBorder="1" applyProtection="1">
      <protection locked="0"/>
    </xf>
    <xf numFmtId="164" fontId="23" fillId="25" borderId="162" xfId="0" applyNumberFormat="1" applyFont="1" applyFill="1" applyBorder="1" applyProtection="1">
      <protection locked="0"/>
    </xf>
    <xf numFmtId="164" fontId="23" fillId="25" borderId="156" xfId="0" applyNumberFormat="1" applyFont="1" applyFill="1" applyBorder="1" applyProtection="1">
      <protection locked="0"/>
    </xf>
    <xf numFmtId="0" fontId="23" fillId="25" borderId="168" xfId="0" applyFont="1" applyFill="1" applyBorder="1" applyAlignment="1" applyProtection="1">
      <alignment vertical="top" wrapText="1"/>
      <protection locked="0"/>
    </xf>
    <xf numFmtId="0" fontId="23" fillId="25" borderId="6" xfId="0" applyFont="1" applyFill="1" applyBorder="1" applyAlignment="1" applyProtection="1">
      <alignment vertical="top" wrapText="1"/>
      <protection locked="0"/>
    </xf>
    <xf numFmtId="0" fontId="23" fillId="25" borderId="7" xfId="0" applyFont="1" applyFill="1" applyBorder="1" applyAlignment="1" applyProtection="1">
      <alignment vertical="top" wrapText="1"/>
      <protection locked="0"/>
    </xf>
    <xf numFmtId="164" fontId="23" fillId="25" borderId="168" xfId="0" applyNumberFormat="1" applyFont="1" applyFill="1" applyBorder="1" applyProtection="1">
      <protection locked="0"/>
    </xf>
    <xf numFmtId="164" fontId="23" fillId="25" borderId="46" xfId="0" applyNumberFormat="1" applyFont="1" applyFill="1" applyBorder="1" applyProtection="1">
      <protection locked="0"/>
    </xf>
    <xf numFmtId="164" fontId="23" fillId="25" borderId="8" xfId="0" applyNumberFormat="1" applyFont="1" applyFill="1" applyBorder="1" applyProtection="1">
      <protection locked="0"/>
    </xf>
    <xf numFmtId="164" fontId="23" fillId="25" borderId="170" xfId="0" applyNumberFormat="1" applyFont="1" applyFill="1" applyBorder="1" applyProtection="1">
      <protection locked="0"/>
    </xf>
    <xf numFmtId="0" fontId="23" fillId="25" borderId="134" xfId="0" applyFont="1" applyFill="1" applyBorder="1" applyAlignment="1">
      <alignment vertical="top" wrapText="1"/>
    </xf>
    <xf numFmtId="0" fontId="23" fillId="25" borderId="28" xfId="0" applyFont="1" applyFill="1" applyBorder="1" applyAlignment="1">
      <alignment vertical="top" wrapText="1"/>
    </xf>
    <xf numFmtId="0" fontId="23" fillId="25" borderId="184" xfId="0" applyFont="1" applyFill="1" applyBorder="1" applyAlignment="1">
      <alignment vertical="top" wrapText="1"/>
    </xf>
    <xf numFmtId="164" fontId="23" fillId="25" borderId="134" xfId="0" applyNumberFormat="1" applyFont="1" applyFill="1" applyBorder="1"/>
    <xf numFmtId="164" fontId="23" fillId="25" borderId="124" xfId="0" applyNumberFormat="1" applyFont="1" applyFill="1" applyBorder="1"/>
    <xf numFmtId="164" fontId="23" fillId="25" borderId="185" xfId="0" applyNumberFormat="1" applyFont="1" applyFill="1" applyBorder="1"/>
    <xf numFmtId="164" fontId="23" fillId="25" borderId="125" xfId="0" applyNumberFormat="1" applyFont="1" applyFill="1" applyBorder="1"/>
    <xf numFmtId="164" fontId="0" fillId="3" borderId="186" xfId="0" applyNumberFormat="1" applyFill="1" applyBorder="1"/>
    <xf numFmtId="164" fontId="8" fillId="3" borderId="0" xfId="1" applyNumberFormat="1" applyFill="1"/>
    <xf numFmtId="164" fontId="0" fillId="7" borderId="186" xfId="0" applyNumberFormat="1" applyFill="1" applyBorder="1"/>
    <xf numFmtId="164" fontId="13" fillId="7" borderId="186" xfId="0" applyNumberFormat="1" applyFont="1" applyFill="1" applyBorder="1"/>
    <xf numFmtId="164" fontId="0" fillId="7" borderId="91" xfId="0" applyNumberFormat="1" applyFill="1" applyBorder="1"/>
    <xf numFmtId="164" fontId="0" fillId="7" borderId="187" xfId="0" applyNumberFormat="1" applyFill="1" applyBorder="1"/>
    <xf numFmtId="164" fontId="33" fillId="0" borderId="0" xfId="0" applyNumberFormat="1" applyFont="1" applyAlignment="1">
      <alignment vertical="center"/>
    </xf>
    <xf numFmtId="164" fontId="6" fillId="0" borderId="0" xfId="0" applyNumberFormat="1" applyFont="1" applyAlignment="1">
      <alignment vertical="center"/>
    </xf>
    <xf numFmtId="164" fontId="6" fillId="12" borderId="0" xfId="0" applyNumberFormat="1" applyFont="1" applyFill="1" applyAlignment="1">
      <alignment vertical="center"/>
    </xf>
    <xf numFmtId="164" fontId="6" fillId="13" borderId="0" xfId="0" applyNumberFormat="1" applyFont="1" applyFill="1" applyAlignment="1">
      <alignment vertical="center" wrapText="1"/>
    </xf>
    <xf numFmtId="164" fontId="6" fillId="14" borderId="0" xfId="0" applyNumberFormat="1" applyFont="1" applyFill="1" applyAlignment="1">
      <alignment vertical="center" wrapText="1"/>
    </xf>
    <xf numFmtId="164" fontId="34" fillId="0" borderId="0" xfId="8" applyNumberFormat="1" applyFont="1" applyBorder="1" applyAlignment="1" applyProtection="1">
      <alignment horizontal="left" vertical="center"/>
    </xf>
    <xf numFmtId="0" fontId="0" fillId="7" borderId="0" xfId="0" applyFill="1" applyAlignment="1">
      <alignment horizontal="left" indent="1"/>
    </xf>
    <xf numFmtId="0" fontId="0" fillId="7" borderId="0" xfId="0" applyFill="1" applyAlignment="1">
      <alignment horizontal="left"/>
    </xf>
    <xf numFmtId="0" fontId="1" fillId="2" borderId="0" xfId="0" applyFont="1" applyFill="1" applyAlignment="1">
      <alignment horizontal="left"/>
    </xf>
    <xf numFmtId="0" fontId="0" fillId="4" borderId="0" xfId="0" applyFill="1" applyAlignment="1">
      <alignment horizontal="left"/>
    </xf>
    <xf numFmtId="0" fontId="1" fillId="5" borderId="0" xfId="0" applyFont="1" applyFill="1" applyAlignment="1">
      <alignment horizontal="left"/>
    </xf>
    <xf numFmtId="0" fontId="0" fillId="6" borderId="0" xfId="0" applyFill="1" applyAlignment="1">
      <alignment horizontal="left"/>
    </xf>
    <xf numFmtId="0" fontId="0" fillId="12" borderId="0" xfId="0" applyFill="1"/>
    <xf numFmtId="0" fontId="23" fillId="0" borderId="188" xfId="0" applyFont="1" applyBorder="1" applyAlignment="1">
      <alignment vertical="top" wrapText="1"/>
    </xf>
    <xf numFmtId="0" fontId="6" fillId="0" borderId="14" xfId="2" applyFont="1" applyFill="1" applyBorder="1" applyAlignment="1" applyProtection="1">
      <alignment horizontal="left" vertical="top"/>
    </xf>
    <xf numFmtId="0" fontId="6" fillId="0" borderId="14" xfId="2" applyFont="1" applyFill="1" applyBorder="1" applyAlignment="1" applyProtection="1">
      <alignment horizontal="left" vertical="top" wrapText="1"/>
    </xf>
    <xf numFmtId="0" fontId="6" fillId="0" borderId="14" xfId="0" applyFont="1" applyBorder="1" applyAlignment="1">
      <alignment horizontal="left" vertical="top"/>
    </xf>
    <xf numFmtId="0" fontId="6" fillId="6" borderId="41" xfId="0" applyFont="1" applyFill="1" applyBorder="1" applyAlignment="1">
      <alignment horizontal="right" vertical="top"/>
    </xf>
    <xf numFmtId="0" fontId="28" fillId="4" borderId="10" xfId="0" applyFont="1" applyFill="1" applyBorder="1" applyAlignment="1" applyProtection="1">
      <alignment horizontal="right" vertical="top"/>
      <protection locked="0"/>
    </xf>
    <xf numFmtId="0" fontId="28" fillId="4" borderId="86" xfId="0" applyFont="1" applyFill="1" applyBorder="1" applyAlignment="1" applyProtection="1">
      <alignment horizontal="right" vertical="top"/>
      <protection locked="0"/>
    </xf>
    <xf numFmtId="0" fontId="6" fillId="6" borderId="27" xfId="0" applyFont="1" applyFill="1" applyBorder="1" applyAlignment="1">
      <alignment horizontal="right" vertical="top"/>
    </xf>
    <xf numFmtId="0" fontId="0" fillId="0" borderId="46" xfId="0" applyBorder="1" applyAlignment="1">
      <alignment wrapText="1"/>
    </xf>
    <xf numFmtId="164" fontId="6" fillId="0" borderId="15" xfId="2" applyNumberFormat="1" applyFont="1" applyFill="1" applyBorder="1" applyAlignment="1" applyProtection="1">
      <alignment horizontal="right" vertical="top"/>
    </xf>
    <xf numFmtId="164" fontId="28" fillId="4" borderId="11" xfId="0" applyNumberFormat="1" applyFont="1" applyFill="1" applyBorder="1" applyAlignment="1">
      <alignment horizontal="right" vertical="top"/>
    </xf>
    <xf numFmtId="8" fontId="6" fillId="0" borderId="15" xfId="2" applyNumberFormat="1" applyFont="1" applyFill="1" applyBorder="1" applyAlignment="1" applyProtection="1">
      <alignment horizontal="right" vertical="top"/>
    </xf>
    <xf numFmtId="8" fontId="6" fillId="0" borderId="15" xfId="2" applyNumberFormat="1" applyFont="1" applyFill="1" applyBorder="1" applyAlignment="1" applyProtection="1">
      <alignment horizontal="right" vertical="top" wrapText="1"/>
    </xf>
    <xf numFmtId="8" fontId="6" fillId="0" borderId="15" xfId="0" applyNumberFormat="1" applyFont="1" applyBorder="1" applyAlignment="1">
      <alignment horizontal="right" vertical="top"/>
    </xf>
    <xf numFmtId="164" fontId="6" fillId="6" borderId="105" xfId="0" applyNumberFormat="1" applyFont="1" applyFill="1" applyBorder="1" applyAlignment="1">
      <alignment horizontal="right" vertical="top"/>
    </xf>
    <xf numFmtId="164" fontId="6" fillId="6" borderId="100" xfId="0" applyNumberFormat="1" applyFont="1" applyFill="1" applyBorder="1" applyAlignment="1">
      <alignment horizontal="right" vertical="top"/>
    </xf>
    <xf numFmtId="0" fontId="6" fillId="0" borderId="14" xfId="2" applyFont="1" applyFill="1" applyBorder="1" applyAlignment="1" applyProtection="1">
      <alignment vertical="top"/>
    </xf>
    <xf numFmtId="164" fontId="6" fillId="0" borderId="29" xfId="2" applyNumberFormat="1" applyFont="1" applyFill="1" applyBorder="1" applyAlignment="1" applyProtection="1">
      <alignment vertical="top"/>
    </xf>
    <xf numFmtId="0" fontId="23" fillId="12" borderId="30" xfId="0" applyFont="1" applyFill="1" applyBorder="1" applyAlignment="1">
      <alignment horizontal="center" vertical="top" wrapText="1"/>
    </xf>
    <xf numFmtId="0" fontId="23" fillId="26" borderId="30" xfId="0" applyFont="1" applyFill="1" applyBorder="1" applyAlignment="1">
      <alignment horizontal="center" vertical="top" wrapText="1"/>
    </xf>
    <xf numFmtId="0" fontId="23" fillId="26" borderId="180" xfId="0" applyFont="1" applyFill="1" applyBorder="1" applyAlignment="1">
      <alignment horizontal="center" vertical="top" wrapText="1"/>
    </xf>
    <xf numFmtId="0" fontId="23" fillId="12" borderId="180" xfId="0" applyFont="1" applyFill="1" applyBorder="1" applyAlignment="1">
      <alignment horizontal="center" vertical="top" wrapText="1"/>
    </xf>
    <xf numFmtId="0" fontId="8" fillId="9" borderId="0" xfId="1" applyFill="1"/>
    <xf numFmtId="8" fontId="6" fillId="0" borderId="14" xfId="2" applyNumberFormat="1" applyFont="1" applyFill="1" applyBorder="1" applyAlignment="1" applyProtection="1">
      <alignment vertical="top" wrapText="1"/>
    </xf>
    <xf numFmtId="8" fontId="6" fillId="0" borderId="14" xfId="2" applyNumberFormat="1" applyFont="1" applyFill="1" applyBorder="1" applyAlignment="1" applyProtection="1">
      <alignment vertical="top"/>
    </xf>
    <xf numFmtId="8" fontId="6" fillId="0" borderId="14" xfId="0" applyNumberFormat="1" applyFont="1" applyBorder="1" applyAlignment="1">
      <alignment vertical="top"/>
    </xf>
    <xf numFmtId="0" fontId="0" fillId="0" borderId="193" xfId="0" applyBorder="1"/>
    <xf numFmtId="0" fontId="1" fillId="0" borderId="179" xfId="0" applyFont="1" applyBorder="1" applyAlignment="1">
      <alignment horizontal="center" wrapText="1"/>
    </xf>
    <xf numFmtId="164" fontId="0" fillId="0" borderId="192" xfId="0" applyNumberFormat="1" applyBorder="1"/>
    <xf numFmtId="0" fontId="0" fillId="0" borderId="194" xfId="0" applyBorder="1" applyAlignment="1">
      <alignment horizontal="right"/>
    </xf>
    <xf numFmtId="164" fontId="0" fillId="0" borderId="190" xfId="0" applyNumberFormat="1" applyBorder="1"/>
    <xf numFmtId="164" fontId="0" fillId="0" borderId="191" xfId="0" applyNumberFormat="1" applyBorder="1"/>
    <xf numFmtId="164" fontId="29" fillId="4" borderId="30" xfId="0" applyNumberFormat="1" applyFont="1" applyFill="1" applyBorder="1" applyAlignment="1">
      <alignment horizontal="right" vertical="top"/>
    </xf>
    <xf numFmtId="164" fontId="8" fillId="0" borderId="190" xfId="1" applyNumberFormat="1" applyBorder="1"/>
    <xf numFmtId="164" fontId="8" fillId="0" borderId="191" xfId="1" applyNumberFormat="1" applyBorder="1"/>
    <xf numFmtId="164" fontId="6" fillId="0" borderId="24" xfId="2" applyNumberFormat="1" applyFont="1" applyFill="1" applyBorder="1" applyAlignment="1" applyProtection="1">
      <alignment horizontal="right" vertical="top"/>
      <protection locked="0"/>
    </xf>
    <xf numFmtId="0" fontId="4" fillId="0" borderId="177" xfId="0" applyFont="1" applyBorder="1" applyAlignment="1">
      <alignment vertical="top" wrapText="1"/>
    </xf>
    <xf numFmtId="0" fontId="1" fillId="0" borderId="178" xfId="0" applyFont="1" applyBorder="1" applyAlignment="1">
      <alignment horizontal="center" wrapText="1"/>
    </xf>
    <xf numFmtId="0" fontId="23" fillId="0" borderId="189" xfId="0" applyFont="1" applyBorder="1" applyAlignment="1">
      <alignment vertical="top" wrapText="1"/>
    </xf>
    <xf numFmtId="0" fontId="0" fillId="6" borderId="189" xfId="0" applyFill="1" applyBorder="1"/>
    <xf numFmtId="0" fontId="23" fillId="12" borderId="0" xfId="0" applyFont="1" applyFill="1" applyAlignment="1">
      <alignment horizontal="center" vertical="top" wrapText="1"/>
    </xf>
    <xf numFmtId="164" fontId="28" fillId="4" borderId="52" xfId="0" applyNumberFormat="1" applyFont="1" applyFill="1" applyBorder="1" applyAlignment="1" applyProtection="1">
      <alignment horizontal="right" vertical="top"/>
      <protection locked="0"/>
    </xf>
    <xf numFmtId="0" fontId="28" fillId="0" borderId="24" xfId="2" applyFont="1" applyFill="1" applyBorder="1" applyAlignment="1" applyProtection="1">
      <alignment vertical="top"/>
      <protection locked="0"/>
    </xf>
    <xf numFmtId="164" fontId="31" fillId="0" borderId="24" xfId="2" applyNumberFormat="1" applyFont="1" applyFill="1" applyBorder="1" applyAlignment="1" applyProtection="1">
      <alignment horizontal="right" vertical="top"/>
      <protection locked="0"/>
    </xf>
    <xf numFmtId="164" fontId="6" fillId="6" borderId="197" xfId="0" applyNumberFormat="1" applyFont="1" applyFill="1" applyBorder="1" applyAlignment="1">
      <alignment horizontal="right" vertical="top"/>
    </xf>
    <xf numFmtId="0" fontId="0" fillId="0" borderId="196" xfId="0" applyBorder="1"/>
    <xf numFmtId="0" fontId="23" fillId="0" borderId="198" xfId="0" applyFont="1" applyBorder="1" applyAlignment="1">
      <alignment horizontal="center" vertical="top" wrapText="1"/>
    </xf>
    <xf numFmtId="0" fontId="0" fillId="0" borderId="199" xfId="0" applyBorder="1" applyAlignment="1">
      <alignment horizontal="center" wrapText="1"/>
    </xf>
    <xf numFmtId="164" fontId="0" fillId="0" borderId="200" xfId="0" applyNumberFormat="1" applyBorder="1" applyProtection="1">
      <protection locked="0"/>
    </xf>
    <xf numFmtId="164" fontId="28" fillId="4" borderId="201" xfId="0" applyNumberFormat="1" applyFont="1" applyFill="1" applyBorder="1" applyAlignment="1">
      <alignment horizontal="right" vertical="top"/>
    </xf>
    <xf numFmtId="164" fontId="28" fillId="0" borderId="200" xfId="2" applyNumberFormat="1" applyFont="1" applyFill="1" applyBorder="1" applyAlignment="1" applyProtection="1">
      <alignment horizontal="right" vertical="top"/>
    </xf>
    <xf numFmtId="164" fontId="6" fillId="0" borderId="200" xfId="2" applyNumberFormat="1" applyFont="1" applyFill="1" applyBorder="1" applyAlignment="1" applyProtection="1">
      <alignment horizontal="right" vertical="top"/>
      <protection locked="0"/>
    </xf>
    <xf numFmtId="164" fontId="0" fillId="0" borderId="202" xfId="0" applyNumberFormat="1" applyBorder="1" applyProtection="1">
      <protection locked="0"/>
    </xf>
    <xf numFmtId="164" fontId="6" fillId="6" borderId="203" xfId="0" applyNumberFormat="1" applyFont="1" applyFill="1" applyBorder="1" applyAlignment="1">
      <alignment horizontal="right" vertical="top"/>
    </xf>
    <xf numFmtId="164" fontId="28" fillId="0" borderId="196" xfId="0" applyNumberFormat="1" applyFont="1" applyBorder="1" applyAlignment="1">
      <alignment horizontal="right" vertical="top"/>
    </xf>
    <xf numFmtId="0" fontId="23" fillId="26" borderId="52" xfId="0" applyFont="1" applyFill="1" applyBorder="1" applyAlignment="1">
      <alignment horizontal="center" vertical="top" wrapText="1"/>
    </xf>
    <xf numFmtId="164" fontId="0" fillId="0" borderId="204" xfId="0" applyNumberFormat="1" applyBorder="1" applyAlignment="1">
      <alignment wrapText="1"/>
    </xf>
    <xf numFmtId="164" fontId="6" fillId="0" borderId="5" xfId="2" applyNumberFormat="1" applyFont="1" applyFill="1" applyBorder="1" applyAlignment="1" applyProtection="1">
      <alignment vertical="top"/>
    </xf>
    <xf numFmtId="164" fontId="28" fillId="0" borderId="5" xfId="2" applyNumberFormat="1" applyFont="1" applyFill="1" applyBorder="1" applyAlignment="1" applyProtection="1">
      <alignment vertical="top"/>
    </xf>
    <xf numFmtId="164" fontId="6" fillId="6" borderId="52" xfId="0" applyNumberFormat="1" applyFont="1" applyFill="1" applyBorder="1" applyAlignment="1">
      <alignment horizontal="right" vertical="top"/>
    </xf>
    <xf numFmtId="0" fontId="23" fillId="12" borderId="205" xfId="0" applyFont="1" applyFill="1" applyBorder="1" applyAlignment="1">
      <alignment horizontal="center" vertical="top" wrapText="1"/>
    </xf>
    <xf numFmtId="164" fontId="0" fillId="0" borderId="198" xfId="0" applyNumberFormat="1" applyBorder="1" applyAlignment="1">
      <alignment horizontal="right" wrapText="1"/>
    </xf>
    <xf numFmtId="164" fontId="6" fillId="0" borderId="198" xfId="2" applyNumberFormat="1" applyFont="1" applyFill="1" applyBorder="1" applyAlignment="1" applyProtection="1">
      <alignment vertical="top"/>
    </xf>
    <xf numFmtId="164" fontId="28" fillId="4" borderId="206" xfId="0" applyNumberFormat="1" applyFont="1" applyFill="1" applyBorder="1" applyAlignment="1">
      <alignment horizontal="right" vertical="top"/>
    </xf>
    <xf numFmtId="164" fontId="28" fillId="0" borderId="198" xfId="2" applyNumberFormat="1" applyFont="1" applyFill="1" applyBorder="1" applyAlignment="1" applyProtection="1">
      <alignment horizontal="right" vertical="top"/>
    </xf>
    <xf numFmtId="8" fontId="6" fillId="0" borderId="196" xfId="2" applyNumberFormat="1" applyFont="1" applyFill="1" applyBorder="1" applyAlignment="1" applyProtection="1">
      <alignment horizontal="right" vertical="top"/>
    </xf>
    <xf numFmtId="8" fontId="6" fillId="0" borderId="196" xfId="2" applyNumberFormat="1" applyFont="1" applyFill="1" applyBorder="1" applyAlignment="1" applyProtection="1">
      <alignment horizontal="right" vertical="top" wrapText="1"/>
    </xf>
    <xf numFmtId="8" fontId="6" fillId="0" borderId="196" xfId="0" applyNumberFormat="1" applyFont="1" applyBorder="1" applyAlignment="1">
      <alignment horizontal="right" vertical="top"/>
    </xf>
    <xf numFmtId="164" fontId="6" fillId="6" borderId="205" xfId="0" applyNumberFormat="1" applyFont="1" applyFill="1" applyBorder="1" applyAlignment="1">
      <alignment horizontal="right" vertical="top"/>
    </xf>
    <xf numFmtId="0" fontId="11" fillId="0" borderId="196" xfId="0" applyFont="1" applyBorder="1" applyAlignment="1">
      <alignment horizontal="left" vertical="top"/>
    </xf>
    <xf numFmtId="0" fontId="23" fillId="26" borderId="87" xfId="0" applyFont="1" applyFill="1" applyBorder="1" applyAlignment="1">
      <alignment horizontal="center" vertical="top" wrapText="1"/>
    </xf>
    <xf numFmtId="0" fontId="0" fillId="0" borderId="7" xfId="0" applyBorder="1" applyAlignment="1">
      <alignment horizontal="center" wrapText="1"/>
    </xf>
    <xf numFmtId="164" fontId="8" fillId="0" borderId="5" xfId="1" applyNumberFormat="1" applyFill="1" applyBorder="1" applyAlignment="1" applyProtection="1">
      <alignment horizontal="right" vertical="top"/>
    </xf>
    <xf numFmtId="164" fontId="29" fillId="4" borderId="129" xfId="0" applyNumberFormat="1" applyFont="1" applyFill="1" applyBorder="1" applyAlignment="1">
      <alignment horizontal="right" vertical="top"/>
    </xf>
    <xf numFmtId="164" fontId="30" fillId="0" borderId="5" xfId="2" applyNumberFormat="1" applyFont="1" applyFill="1" applyBorder="1" applyAlignment="1" applyProtection="1">
      <alignment horizontal="right" vertical="top"/>
    </xf>
    <xf numFmtId="164" fontId="31" fillId="0" borderId="5" xfId="2" applyNumberFormat="1" applyFont="1" applyFill="1" applyBorder="1" applyAlignment="1" applyProtection="1">
      <alignment horizontal="right" vertical="top"/>
    </xf>
    <xf numFmtId="164" fontId="27" fillId="0" borderId="5" xfId="1" applyNumberFormat="1" applyFont="1" applyFill="1" applyBorder="1" applyAlignment="1" applyProtection="1">
      <alignment horizontal="right" vertical="top"/>
    </xf>
    <xf numFmtId="0" fontId="0" fillId="0" borderId="207" xfId="0" applyBorder="1" applyAlignment="1">
      <alignment horizontal="center" wrapText="1"/>
    </xf>
    <xf numFmtId="164" fontId="0" fillId="0" borderId="200" xfId="0" applyNumberFormat="1" applyBorder="1"/>
    <xf numFmtId="164" fontId="6" fillId="0" borderId="200" xfId="2" applyNumberFormat="1" applyFont="1" applyFill="1" applyBorder="1" applyAlignment="1" applyProtection="1">
      <alignment horizontal="right" vertical="top"/>
    </xf>
    <xf numFmtId="164" fontId="0" fillId="0" borderId="202" xfId="0" applyNumberFormat="1" applyBorder="1"/>
    <xf numFmtId="164" fontId="6" fillId="6" borderId="208" xfId="0" applyNumberFormat="1" applyFont="1" applyFill="1" applyBorder="1" applyAlignment="1">
      <alignment horizontal="right" vertical="top"/>
    </xf>
    <xf numFmtId="164" fontId="6" fillId="6" borderId="1" xfId="0" applyNumberFormat="1" applyFont="1" applyFill="1" applyBorder="1" applyAlignment="1">
      <alignment horizontal="right" vertical="top"/>
    </xf>
    <xf numFmtId="0" fontId="0" fillId="12" borderId="77" xfId="0" applyFill="1" applyBorder="1" applyAlignment="1">
      <alignment horizontal="left" indent="1"/>
    </xf>
    <xf numFmtId="0" fontId="0" fillId="12" borderId="47" xfId="0" applyFill="1" applyBorder="1" applyAlignment="1">
      <alignment horizontal="left" wrapText="1" indent="1"/>
    </xf>
    <xf numFmtId="0" fontId="0" fillId="12" borderId="47" xfId="0" applyFill="1" applyBorder="1" applyAlignment="1">
      <alignment horizontal="left" indent="1"/>
    </xf>
    <xf numFmtId="44" fontId="0" fillId="12" borderId="47" xfId="7" applyFont="1" applyFill="1" applyBorder="1" applyAlignment="1">
      <alignment horizontal="left" indent="1"/>
    </xf>
    <xf numFmtId="0" fontId="0" fillId="12" borderId="78" xfId="0" applyFill="1" applyBorder="1" applyAlignment="1">
      <alignment horizontal="left" indent="1"/>
    </xf>
    <xf numFmtId="0" fontId="0" fillId="0" borderId="72" xfId="0" applyBorder="1"/>
    <xf numFmtId="164" fontId="0" fillId="0" borderId="162" xfId="0" applyNumberFormat="1" applyBorder="1"/>
    <xf numFmtId="164" fontId="0" fillId="0" borderId="167" xfId="0" applyNumberFormat="1" applyBorder="1"/>
    <xf numFmtId="164" fontId="0" fillId="0" borderId="129" xfId="0" applyNumberFormat="1" applyBorder="1"/>
    <xf numFmtId="0" fontId="0" fillId="12" borderId="183" xfId="0" applyFill="1" applyBorder="1"/>
    <xf numFmtId="164" fontId="67" fillId="12" borderId="0" xfId="0" applyNumberFormat="1" applyFont="1" applyFill="1"/>
    <xf numFmtId="0" fontId="1" fillId="0" borderId="0" xfId="0" applyFont="1" applyAlignment="1">
      <alignment horizontal="center" wrapText="1"/>
    </xf>
    <xf numFmtId="164" fontId="8" fillId="0" borderId="0" xfId="1" applyNumberFormat="1" applyBorder="1"/>
    <xf numFmtId="164" fontId="0" fillId="0" borderId="195" xfId="0" applyNumberFormat="1" applyBorder="1"/>
    <xf numFmtId="164" fontId="6" fillId="6" borderId="189" xfId="0" applyNumberFormat="1" applyFont="1" applyFill="1" applyBorder="1" applyAlignment="1">
      <alignment horizontal="right" vertical="top"/>
    </xf>
    <xf numFmtId="164" fontId="29" fillId="4" borderId="83" xfId="0" applyNumberFormat="1" applyFont="1" applyFill="1" applyBorder="1" applyAlignment="1">
      <alignment horizontal="right" vertical="top"/>
    </xf>
    <xf numFmtId="0" fontId="6" fillId="0" borderId="29" xfId="2" applyFont="1" applyFill="1" applyBorder="1" applyAlignment="1" applyProtection="1">
      <alignment horizontal="left" vertical="top"/>
    </xf>
    <xf numFmtId="8" fontId="71" fillId="0" borderId="29" xfId="0" applyNumberFormat="1" applyFont="1" applyBorder="1"/>
    <xf numFmtId="8" fontId="71" fillId="27" borderId="29" xfId="0" applyNumberFormat="1" applyFont="1" applyFill="1" applyBorder="1"/>
    <xf numFmtId="8" fontId="71" fillId="28" borderId="29" xfId="0" applyNumberFormat="1" applyFont="1" applyFill="1" applyBorder="1"/>
    <xf numFmtId="0" fontId="23" fillId="0" borderId="188" xfId="0" applyFont="1" applyBorder="1" applyAlignment="1">
      <alignment horizontal="center" vertical="top" wrapText="1"/>
    </xf>
    <xf numFmtId="0" fontId="87" fillId="0" borderId="0" xfId="0" applyFont="1" applyAlignment="1">
      <alignment vertical="center"/>
    </xf>
    <xf numFmtId="0" fontId="67" fillId="12" borderId="80" xfId="0" applyFont="1" applyFill="1" applyBorder="1"/>
    <xf numFmtId="0" fontId="67" fillId="12" borderId="81" xfId="0" applyFont="1" applyFill="1" applyBorder="1"/>
    <xf numFmtId="0" fontId="14" fillId="12" borderId="79" xfId="0" applyFont="1" applyFill="1" applyBorder="1" applyAlignment="1">
      <alignment vertical="center"/>
    </xf>
    <xf numFmtId="0" fontId="0" fillId="12" borderId="80" xfId="0" applyFill="1" applyBorder="1"/>
    <xf numFmtId="0" fontId="0" fillId="0" borderId="14" xfId="0" applyBorder="1"/>
    <xf numFmtId="0" fontId="0" fillId="0" borderId="15" xfId="0" applyBorder="1"/>
    <xf numFmtId="164" fontId="0" fillId="0" borderId="16" xfId="0" applyNumberFormat="1" applyBorder="1"/>
    <xf numFmtId="0" fontId="0" fillId="12" borderId="14" xfId="0" applyFill="1" applyBorder="1"/>
    <xf numFmtId="0" fontId="0" fillId="12" borderId="15" xfId="0" applyFill="1" applyBorder="1"/>
    <xf numFmtId="164" fontId="0" fillId="12" borderId="15" xfId="0" applyNumberFormat="1" applyFill="1" applyBorder="1"/>
    <xf numFmtId="164" fontId="67" fillId="0" borderId="11" xfId="0" applyNumberFormat="1" applyFont="1" applyBorder="1"/>
    <xf numFmtId="164" fontId="67" fillId="0" borderId="12" xfId="0" applyNumberFormat="1" applyFont="1" applyBorder="1"/>
    <xf numFmtId="164" fontId="0" fillId="0" borderId="0" xfId="0" applyNumberFormat="1" applyAlignment="1">
      <alignment horizontal="left" indent="1"/>
    </xf>
    <xf numFmtId="164" fontId="0" fillId="12" borderId="209" xfId="0" applyNumberFormat="1" applyFill="1" applyBorder="1"/>
    <xf numFmtId="164" fontId="0" fillId="12" borderId="8" xfId="0" applyNumberFormat="1" applyFill="1" applyBorder="1"/>
    <xf numFmtId="8" fontId="6" fillId="6" borderId="43" xfId="0" applyNumberFormat="1" applyFont="1" applyFill="1" applyBorder="1" applyAlignment="1">
      <alignment horizontal="right" vertical="top"/>
    </xf>
    <xf numFmtId="0" fontId="0" fillId="7" borderId="210" xfId="0" applyFill="1" applyBorder="1" applyAlignment="1">
      <alignment horizontal="right"/>
    </xf>
    <xf numFmtId="0" fontId="0" fillId="7" borderId="91" xfId="0" applyFill="1" applyBorder="1"/>
    <xf numFmtId="0" fontId="8" fillId="7" borderId="91" xfId="1" applyFill="1" applyBorder="1"/>
    <xf numFmtId="0" fontId="0" fillId="7" borderId="210" xfId="0" applyFill="1" applyBorder="1" applyAlignment="1">
      <alignment horizontal="right" indent="1"/>
    </xf>
    <xf numFmtId="164" fontId="1" fillId="7" borderId="91" xfId="0" applyNumberFormat="1" applyFont="1" applyFill="1" applyBorder="1"/>
    <xf numFmtId="0" fontId="0" fillId="22" borderId="0" xfId="0" applyFill="1" applyAlignment="1">
      <alignment horizontal="left" vertical="center" wrapText="1"/>
    </xf>
  </cellXfs>
  <cellStyles count="12">
    <cellStyle name="20% - Akzent1_HH-Plan AStA + Fachschaften - Entwurf 2" xfId="2" xr:uid="{00000000-0005-0000-0000-000000000000}"/>
    <cellStyle name="Excel Built-in Normal" xfId="10" xr:uid="{00000000-0005-0000-0000-000001000000}"/>
    <cellStyle name="Excel Built-in Normal 1" xfId="6" xr:uid="{00000000-0005-0000-0000-000002000000}"/>
    <cellStyle name="Excel Built-in Normal 2" xfId="9" xr:uid="{00000000-0005-0000-0000-000003000000}"/>
    <cellStyle name="Excel Built-in Normal 4" xfId="8" xr:uid="{00000000-0005-0000-0000-000004000000}"/>
    <cellStyle name="Link" xfId="1" builtinId="8"/>
    <cellStyle name="Prozent 2" xfId="5" xr:uid="{00000000-0005-0000-0000-000006000000}"/>
    <cellStyle name="Standard" xfId="0" builtinId="0"/>
    <cellStyle name="Standard 2" xfId="3" xr:uid="{00000000-0005-0000-0000-000008000000}"/>
    <cellStyle name="Währung" xfId="7" builtinId="4"/>
    <cellStyle name="Währung 2" xfId="4" xr:uid="{00000000-0005-0000-0000-00000A000000}"/>
    <cellStyle name="Währung 3" xfId="11" xr:uid="{00000000-0005-0000-0000-00000B000000}"/>
  </cellStyles>
  <dxfs count="1556">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right style="thin">
          <color auto="1"/>
        </right>
        <top style="thin">
          <color auto="1"/>
        </top>
        <bottom/>
      </border>
    </dxf>
    <dxf>
      <alignment horizontal="right" vertical="bottom" textRotation="0" wrapText="1" indent="0" justifyLastLine="0" shrinkToFit="0" readingOrder="0"/>
      <border diagonalUp="0" diagonalDown="0" outline="0">
        <left style="medium">
          <color indexed="64"/>
        </left>
        <right style="medium">
          <color indexed="64"/>
        </right>
        <top style="thin">
          <color auto="1"/>
        </top>
        <bottom style="medium">
          <color indexed="64"/>
        </bottom>
      </border>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auto="1"/>
        </right>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2" formatCode="#,##0.00\ &quot;€&quot;;[Red]\-#,##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textRotation="0" wrapText="1" justifyLastLine="0" shrinkToFit="0" readingOrder="0"/>
    </dxf>
    <dxf>
      <border>
        <bottom style="thin">
          <color auto="1"/>
        </bottom>
      </border>
    </dxf>
    <dxf>
      <alignment horizontal="center"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numFmt numFmtId="164" formatCode="#,##0.00\ &quot;€&quot;"/>
      <fill>
        <patternFill patternType="solid">
          <fgColor indexed="64"/>
          <bgColor theme="9" tint="0.79998168889431442"/>
        </patternFill>
      </fill>
      <border diagonalUp="0" diagonalDown="0">
        <left style="thin">
          <color indexed="64"/>
        </left>
        <right style="medium">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none">
          <fgColor indexed="64"/>
          <bgColor indexed="65"/>
        </patternFill>
      </fill>
      <border diagonalUp="0" diagonalDown="0">
        <left style="thin">
          <color indexed="64"/>
        </left>
        <right style="thin">
          <color indexed="64"/>
        </right>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alignment horizontal="right" vertical="bottom" textRotation="0" wrapText="1" indent="0" justifyLastLine="0" shrinkToFit="0" readingOrder="0"/>
      <border diagonalUp="0" diagonalDown="0" outline="0">
        <left style="medium">
          <color indexed="64"/>
        </left>
        <right style="thin">
          <color indexed="64"/>
        </right>
        <top/>
        <bottom/>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vertical/>
        <horizontal/>
      </border>
    </dxf>
    <dxf>
      <border outline="0">
        <bottom style="medium">
          <color indexed="64"/>
        </bottom>
      </border>
    </dxf>
    <dxf>
      <fill>
        <patternFill patternType="solid">
          <fgColor indexed="64"/>
          <bgColor theme="9" tint="0.79998168889431442"/>
        </patternFill>
      </fill>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strike val="0"/>
        <outline val="0"/>
        <shadow val="0"/>
        <vertAlign val="baseline"/>
        <sz val="10"/>
        <color theme="1"/>
        <name val="Calibri"/>
        <scheme val="minor"/>
      </font>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border diagonalUp="0" diagonalDown="0">
        <left style="thin">
          <color auto="1"/>
        </left>
        <right/>
        <top/>
        <bottom/>
        <vertical/>
        <horizontal/>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medium">
          <color indexed="64"/>
        </right>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horizontal/>
      </border>
    </dxf>
    <dxf>
      <font>
        <strike val="0"/>
        <outline val="0"/>
        <shadow val="0"/>
        <vertAlign val="baseline"/>
        <sz val="11"/>
        <name val="Calibri"/>
      </font>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indexed="64"/>
          <bgColor rgb="FFFF7C80"/>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strike val="0"/>
        <outline val="0"/>
        <shadow val="0"/>
        <vertAlign val="baseline"/>
        <sz val="10"/>
        <color theme="1"/>
        <name val="Calibri"/>
        <scheme val="minor"/>
      </font>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protection locked="0" hidden="0"/>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border diagonalUp="0" diagonalDown="0">
        <left style="thin">
          <color auto="1"/>
        </left>
        <right/>
        <top/>
        <bottom/>
        <vertical/>
        <horizontal/>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strike val="0"/>
        <outline val="0"/>
        <shadow val="0"/>
        <vertAlign val="baseline"/>
        <sz val="11"/>
        <name val="Calibri"/>
      </font>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medium">
          <color auto="1"/>
        </right>
        <vertical/>
      </border>
    </dxf>
    <dxf>
      <font>
        <strike val="0"/>
        <outline val="0"/>
        <shadow val="0"/>
        <vertAlign val="baseline"/>
        <sz val="11"/>
        <name val="Calibri"/>
      </font>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al="none"/>
        <vertAlign val="baseline"/>
        <sz val="10"/>
        <color theme="1"/>
        <name val="Calibri"/>
        <scheme val="minor"/>
      </font>
      <numFmt numFmtId="164" formatCode="#,##0.00\ &quot;€&quot;"/>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strike val="0"/>
        <outline val="0"/>
        <shadow val="0"/>
        <vertAlign val="baseline"/>
        <sz val="10"/>
        <color theme="1"/>
        <name val="Calibri"/>
        <scheme val="minor"/>
      </font>
      <protection locked="0" hidden="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protection locked="0" hidden="0"/>
    </dxf>
    <dxf>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border diagonalUp="0" diagonalDown="0">
        <left style="thin">
          <color indexed="64"/>
        </left>
      </border>
      <protection locked="0" hidden="0"/>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numFmt numFmtId="164" formatCode="#,##0.00\ &quot;€&quot;"/>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border outline="0">
        <right style="medium">
          <color indexed="64"/>
        </right>
      </border>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numFmt numFmtId="164" formatCode="#,##0.00\ &quot;€&quot;"/>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border outline="0">
        <right style="medium">
          <color indexed="64"/>
        </right>
      </border>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numFmt numFmtId="164" formatCode="#,##0.00\ &quot;€&quot;"/>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border outline="0">
        <right style="medium">
          <color indexed="64"/>
        </right>
      </border>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numFmt numFmtId="164" formatCode="#,##0.00\ &quot;€&quot;"/>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strike val="0"/>
        <outline val="0"/>
        <shadow val="0"/>
        <vertAlign val="baseline"/>
        <sz val="11"/>
        <name val="Calibri"/>
      </font>
      <border outline="0">
        <right style="medium">
          <color indexed="64"/>
        </right>
      </border>
    </dxf>
    <dxf>
      <font>
        <strike val="0"/>
        <outline val="0"/>
        <shadow val="0"/>
        <vertAlign val="baseline"/>
        <sz val="11"/>
        <name val="Calibri"/>
      </font>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indexed="64"/>
          <bgColor rgb="FFFF7C80"/>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theme="1"/>
        </left>
        <right style="medium">
          <color theme="1"/>
        </right>
        <top style="medium">
          <color theme="1"/>
        </top>
        <bottom style="medium">
          <color theme="1"/>
        </bottom>
      </border>
    </dxf>
    <dxf>
      <numFmt numFmtId="164" formatCode="#,##0.00\ &quot;€&quot;"/>
    </dxf>
    <dxf>
      <border diagonalUp="0" diagonalDown="0" outline="0">
        <left/>
        <right/>
        <top/>
        <bottom/>
      </border>
    </dxf>
    <dxf>
      <border diagonalUp="0" diagonalDown="0" outline="0">
        <left/>
        <right/>
        <top/>
        <bottom/>
      </border>
    </dxf>
    <dxf>
      <numFmt numFmtId="164" formatCode="#,##0.00\ &quot;€&quot;"/>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font>
        <b val="0"/>
        <i val="0"/>
        <strike val="0"/>
        <condense val="0"/>
        <extend val="0"/>
        <outline val="0"/>
        <shadow val="0"/>
        <u val="none"/>
        <vertAlign val="baseline"/>
        <sz val="11"/>
        <color theme="1"/>
        <name val="Calibri"/>
        <scheme val="minor"/>
      </font>
      <alignment horizontal="left" vertical="bottom" textRotation="0" wrapText="0" justifyLastLine="0" shrinkToFit="0" readingOrder="0"/>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strike val="0"/>
        <outline val="0"/>
        <shadow val="0"/>
        <u val="none"/>
        <vertAlign val="subscript"/>
        <sz val="8"/>
        <color theme="0"/>
        <name val="Calibri"/>
        <scheme val="minor"/>
      </font>
      <numFmt numFmtId="0" formatCode="General"/>
    </dxf>
    <dxf>
      <alignment horizontal="right" vertical="bottom" textRotation="0" wrapText="0" justifyLastLine="0" shrinkToFit="0" readingOrder="0"/>
    </dxf>
    <dxf>
      <font>
        <b/>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s>
  <tableStyles count="0" defaultTableStyle="TableStyleMedium2" defaultPivotStyle="PivotStyleLight16"/>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752474</xdr:colOff>
      <xdr:row>16</xdr:row>
      <xdr:rowOff>161926</xdr:rowOff>
    </xdr:from>
    <xdr:to>
      <xdr:col>13</xdr:col>
      <xdr:colOff>19049</xdr:colOff>
      <xdr:row>23</xdr:row>
      <xdr:rowOff>171451</xdr:rowOff>
    </xdr:to>
    <xdr:sp macro="" textlink="">
      <xdr:nvSpPr>
        <xdr:cNvPr id="2" name="Textfeld 1">
          <a:extLst>
            <a:ext uri="{FF2B5EF4-FFF2-40B4-BE49-F238E27FC236}">
              <a16:creationId xmlns:a16="http://schemas.microsoft.com/office/drawing/2014/main" id="{82EAA4BF-53CA-D316-85C2-533AC648E92D}"/>
            </a:ext>
          </a:extLst>
        </xdr:cNvPr>
        <xdr:cNvSpPr txBox="1"/>
      </xdr:nvSpPr>
      <xdr:spPr>
        <a:xfrm>
          <a:off x="11696699" y="3752851"/>
          <a:ext cx="421957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Der variablen Aufwandsentschädigung liegt die Abgeltung von Reiseaufwand der Mandatsträger*innen</a:t>
          </a:r>
          <a:r>
            <a:rPr lang="de-DE" sz="1100" baseline="0"/>
            <a:t> zugrunde, welcher durch die notwendigen Anreisen oder die Nutzung eigenen Arbeitsgeräts oder eigener Räumlichkeiten entsteht, ebenso sind hierdurch sonstige Mandatswahrnehmungsaufwendungen abgedeckt. Sofern es sich nur um notwendige physische Anreisen handelt, so ist der Reiseaufwand auf max. 50 € pro Tag beschränkt. </a:t>
          </a:r>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dde/Documents/AStA-Finanzen/Haushaltsdokumente/Haushalt%2023-34/Haushaltsplan_23-24%20-%20SP%20Vers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edde/Downloads/Auswertungen_neuer_Haushaltplan_AStA_FeU_Hagen_HHJ_23_24_Okt_22_bis_Sep_2024%2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edde/Downloads/Auswertungen_neuer_Haushaltplan_AStA_FeU_Hagen_HHJ_23_24_Okt_22_bis_Sep_2024%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fedde/Desktop/Haushalt%20Wiwi%20ne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fedde/Downloads/Auswertungen_neuer_Haushaltplan_AStA_FeU_Hagen_HHJ_22_23_Okt_22_bis_Sep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ushalt 2023-2024"/>
      <sheetName val="Referatspläne"/>
      <sheetName val="Leistungen Dritter"/>
      <sheetName val="HHJ_2021_2022"/>
      <sheetName val="HHJ_2022_2023"/>
      <sheetName val="Aufwandsentschädigungen"/>
      <sheetName val="Stellenplan"/>
      <sheetName val="Mieten und Lizenzen"/>
      <sheetName val="Anschaffungsplan+BHS"/>
      <sheetName val="WiWi"/>
      <sheetName val="KSW"/>
      <sheetName val="PSY"/>
      <sheetName val="ReWi"/>
      <sheetName val="M_I"/>
      <sheetName val="Haushaltsplan_23-24 - SP Versio"/>
    </sheetNames>
    <sheetDataSet>
      <sheetData sheetId="0"/>
      <sheetData sheetId="1">
        <row r="128">
          <cell r="B128">
            <v>0</v>
          </cell>
        </row>
        <row r="136">
          <cell r="D136">
            <v>7000</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ushalt"/>
      <sheetName val="HHJ_2023_2024"/>
      <sheetName val="OP"/>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row r="1">
          <cell r="A1" t="str">
            <v>Monatliche Auswertungen zum HHP 2023/2024</v>
          </cell>
          <cell r="B1">
            <v>0</v>
          </cell>
          <cell r="C1">
            <v>0</v>
          </cell>
        </row>
        <row r="3">
          <cell r="A3" t="str">
            <v>Einnahmen der Studierendenschaft</v>
          </cell>
          <cell r="B3">
            <v>0</v>
          </cell>
          <cell r="C3">
            <v>0</v>
          </cell>
          <cell r="D3">
            <v>0</v>
          </cell>
          <cell r="E3">
            <v>0</v>
          </cell>
          <cell r="F3">
            <v>0</v>
          </cell>
          <cell r="G3">
            <v>0</v>
          </cell>
          <cell r="I3">
            <v>0</v>
          </cell>
        </row>
        <row r="4">
          <cell r="A4">
            <v>0</v>
          </cell>
          <cell r="B4">
            <v>0</v>
          </cell>
          <cell r="C4">
            <v>0</v>
          </cell>
          <cell r="D4">
            <v>0</v>
          </cell>
          <cell r="E4">
            <v>0</v>
          </cell>
          <cell r="F4">
            <v>0</v>
          </cell>
          <cell r="G4">
            <v>0</v>
          </cell>
          <cell r="I4">
            <v>0</v>
          </cell>
        </row>
        <row r="5">
          <cell r="A5" t="str">
            <v>Titel</v>
          </cell>
          <cell r="B5" t="str">
            <v>Spalte1</v>
          </cell>
          <cell r="C5" t="str">
            <v>Titel alt</v>
          </cell>
          <cell r="D5" t="str">
            <v>Kontenbezeichnung</v>
          </cell>
          <cell r="E5" t="str">
            <v>SOLL HHJ 21-22</v>
          </cell>
          <cell r="F5" t="str">
            <v>IST HHJ 21-22</v>
          </cell>
          <cell r="G5" t="str">
            <v>SOLL HHJ 22-23
SP 17.12.22</v>
          </cell>
          <cell r="H5" t="str">
            <v>IST HHJ 22-23
30.09.2023</v>
          </cell>
          <cell r="I5" t="str">
            <v>SOLL HHJ 23-24
SP 11.11.2023</v>
          </cell>
          <cell r="J5" t="str">
            <v xml:space="preserve">
IST HHJ 22-23
31.10.2023</v>
          </cell>
          <cell r="K5" t="str">
            <v>IST HHJ 22-23
30.11.2023</v>
          </cell>
          <cell r="L5" t="str">
            <v>IST HHJ 22-23
31.12.2023</v>
          </cell>
          <cell r="M5" t="str">
            <v>IST HHJ 22-23
31.01.2024</v>
          </cell>
          <cell r="N5" t="str">
            <v>IST HHJ 22-23
29.02.2024</v>
          </cell>
          <cell r="O5" t="str">
            <v>IST HHJ 22-23
31.03.2024</v>
          </cell>
          <cell r="P5" t="str">
            <v>IST HHJ 22-23
30.04.2024</v>
          </cell>
          <cell r="Q5" t="str">
            <v>IST HHJ 22-23
31.05.2024</v>
          </cell>
          <cell r="R5" t="str">
            <v>IST HHJ 22-23
30.06.2024</v>
          </cell>
          <cell r="S5" t="str">
            <v>IST HHJ 22-23
31.07.2024</v>
          </cell>
        </row>
        <row r="6">
          <cell r="A6" t="str">
            <v>Plan 1</v>
          </cell>
          <cell r="B6">
            <v>1</v>
          </cell>
          <cell r="C6">
            <v>0</v>
          </cell>
          <cell r="D6" t="str">
            <v>Einnahmen AStA und Studierendenparlament</v>
          </cell>
          <cell r="E6">
            <v>600000</v>
          </cell>
          <cell r="F6">
            <v>591157.19000000006</v>
          </cell>
          <cell r="G6">
            <v>1076950</v>
          </cell>
          <cell r="H6">
            <v>1076480.68</v>
          </cell>
          <cell r="I6">
            <v>774226.25</v>
          </cell>
          <cell r="J6">
            <v>247260.91999999998</v>
          </cell>
          <cell r="K6">
            <v>445580.05</v>
          </cell>
          <cell r="L6">
            <v>491209.97000000003</v>
          </cell>
          <cell r="M6">
            <v>492205.97000000003</v>
          </cell>
          <cell r="N6">
            <v>498687.23000000004</v>
          </cell>
          <cell r="O6">
            <v>523021.18</v>
          </cell>
          <cell r="P6">
            <v>780378.02999999991</v>
          </cell>
          <cell r="Q6">
            <v>991155.49</v>
          </cell>
          <cell r="R6">
            <v>1021832.0199999999</v>
          </cell>
          <cell r="S6">
            <v>1028270.0199999999</v>
          </cell>
        </row>
        <row r="7">
          <cell r="A7" t="str">
            <v>111.00</v>
          </cell>
          <cell r="B7">
            <v>2</v>
          </cell>
          <cell r="C7">
            <v>0</v>
          </cell>
          <cell r="D7" t="str">
            <v>Studierendenschaftsbeiträge</v>
          </cell>
          <cell r="E7">
            <v>560000</v>
          </cell>
          <cell r="F7">
            <v>578722.64</v>
          </cell>
          <cell r="G7">
            <v>1044000</v>
          </cell>
          <cell r="H7">
            <v>1066613.68</v>
          </cell>
          <cell r="I7">
            <v>752600</v>
          </cell>
          <cell r="J7">
            <v>246610.37</v>
          </cell>
          <cell r="K7">
            <v>444128.85</v>
          </cell>
          <cell r="L7">
            <v>489244.77</v>
          </cell>
          <cell r="M7">
            <v>489848.77</v>
          </cell>
          <cell r="N7">
            <v>496156.03</v>
          </cell>
          <cell r="O7">
            <v>520347.98</v>
          </cell>
          <cell r="P7">
            <v>777562.83</v>
          </cell>
          <cell r="Q7">
            <v>987928.29</v>
          </cell>
          <cell r="R7">
            <v>1017354.82</v>
          </cell>
          <cell r="S7">
            <v>1023380.82</v>
          </cell>
        </row>
        <row r="8">
          <cell r="A8" t="str">
            <v>111.10</v>
          </cell>
          <cell r="B8">
            <v>3</v>
          </cell>
          <cell r="C8" t="str">
            <v>341.00 (x0)</v>
          </cell>
          <cell r="D8" t="str">
            <v>Wintersemester</v>
          </cell>
          <cell r="E8">
            <v>0</v>
          </cell>
          <cell r="F8">
            <v>0</v>
          </cell>
          <cell r="G8">
            <v>548100</v>
          </cell>
          <cell r="H8">
            <v>1066613.3799999999</v>
          </cell>
          <cell r="I8">
            <v>500850</v>
          </cell>
          <cell r="J8">
            <v>246610.37</v>
          </cell>
          <cell r="K8">
            <v>444128.85</v>
          </cell>
          <cell r="L8">
            <v>489244.77</v>
          </cell>
          <cell r="M8">
            <v>489848.77</v>
          </cell>
          <cell r="N8">
            <v>496156.03</v>
          </cell>
          <cell r="O8">
            <v>520347.98</v>
          </cell>
          <cell r="P8">
            <v>777562.83</v>
          </cell>
          <cell r="Q8">
            <v>987928.29</v>
          </cell>
          <cell r="R8">
            <v>1017354.82</v>
          </cell>
          <cell r="S8">
            <v>1023380.82</v>
          </cell>
        </row>
        <row r="9">
          <cell r="A9" t="str">
            <v>111.20</v>
          </cell>
          <cell r="B9">
            <v>4</v>
          </cell>
          <cell r="C9" t="str">
            <v>341.00 (x1)</v>
          </cell>
          <cell r="D9" t="str">
            <v>Sommersemester</v>
          </cell>
          <cell r="E9">
            <v>560000</v>
          </cell>
          <cell r="F9">
            <v>578722.64</v>
          </cell>
          <cell r="G9">
            <v>495900</v>
          </cell>
          <cell r="H9">
            <v>0</v>
          </cell>
          <cell r="I9">
            <v>251750</v>
          </cell>
          <cell r="J9">
            <v>0</v>
          </cell>
          <cell r="K9">
            <v>0</v>
          </cell>
          <cell r="L9">
            <v>0</v>
          </cell>
          <cell r="M9">
            <v>0</v>
          </cell>
          <cell r="N9">
            <v>0</v>
          </cell>
          <cell r="O9">
            <v>0</v>
          </cell>
          <cell r="P9">
            <v>0</v>
          </cell>
          <cell r="Q9">
            <v>0</v>
          </cell>
          <cell r="R9">
            <v>0</v>
          </cell>
          <cell r="S9">
            <v>0</v>
          </cell>
        </row>
        <row r="10">
          <cell r="A10">
            <v>0</v>
          </cell>
          <cell r="B10">
            <v>5</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row>
        <row r="11">
          <cell r="A11" t="str">
            <v>119.00</v>
          </cell>
          <cell r="B11">
            <v>6</v>
          </cell>
          <cell r="C11">
            <v>0</v>
          </cell>
          <cell r="D11" t="str">
            <v>Vermischte Einnahmen</v>
          </cell>
          <cell r="E11">
            <v>6000</v>
          </cell>
          <cell r="F11">
            <v>6205</v>
          </cell>
          <cell r="G11">
            <v>2000</v>
          </cell>
          <cell r="H11">
            <v>3805</v>
          </cell>
          <cell r="I11">
            <v>4500</v>
          </cell>
          <cell r="J11">
            <v>0</v>
          </cell>
          <cell r="K11">
            <v>0</v>
          </cell>
          <cell r="L11">
            <v>300</v>
          </cell>
          <cell r="M11">
            <v>300</v>
          </cell>
          <cell r="N11">
            <v>300</v>
          </cell>
          <cell r="O11">
            <v>300</v>
          </cell>
          <cell r="P11">
            <v>300</v>
          </cell>
          <cell r="Q11">
            <v>300</v>
          </cell>
          <cell r="R11">
            <v>300</v>
          </cell>
          <cell r="S11">
            <v>300</v>
          </cell>
        </row>
        <row r="12">
          <cell r="A12" t="str">
            <v>119.10</v>
          </cell>
          <cell r="B12">
            <v>7</v>
          </cell>
          <cell r="C12" t="str">
            <v>125.10, 125.20</v>
          </cell>
          <cell r="D12" t="str">
            <v>Werbung und Anzeigen</v>
          </cell>
          <cell r="E12">
            <v>6000</v>
          </cell>
          <cell r="F12">
            <v>6205</v>
          </cell>
          <cell r="G12">
            <v>2000</v>
          </cell>
          <cell r="H12">
            <v>3805</v>
          </cell>
          <cell r="I12">
            <v>4000</v>
          </cell>
          <cell r="J12">
            <v>0</v>
          </cell>
          <cell r="K12">
            <v>0</v>
          </cell>
          <cell r="L12">
            <v>300</v>
          </cell>
          <cell r="M12">
            <v>300</v>
          </cell>
          <cell r="N12">
            <v>300</v>
          </cell>
          <cell r="O12">
            <v>300</v>
          </cell>
          <cell r="P12">
            <v>300</v>
          </cell>
          <cell r="Q12">
            <v>300</v>
          </cell>
          <cell r="R12">
            <v>300</v>
          </cell>
          <cell r="S12">
            <v>300</v>
          </cell>
        </row>
        <row r="13">
          <cell r="A13" t="str">
            <v>119.20</v>
          </cell>
          <cell r="B13">
            <v>8</v>
          </cell>
          <cell r="C13">
            <v>119.21</v>
          </cell>
          <cell r="D13" t="str">
            <v>Spenden</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row>
        <row r="14">
          <cell r="A14" t="str">
            <v>119.30</v>
          </cell>
          <cell r="B14">
            <v>9</v>
          </cell>
          <cell r="C14" t="str">
            <v>162.00</v>
          </cell>
          <cell r="D14" t="str">
            <v>Zinsen</v>
          </cell>
          <cell r="E14">
            <v>0</v>
          </cell>
          <cell r="F14">
            <v>0</v>
          </cell>
          <cell r="G14">
            <v>0</v>
          </cell>
          <cell r="H14">
            <v>0</v>
          </cell>
          <cell r="I14">
            <v>500</v>
          </cell>
          <cell r="J14">
            <v>0</v>
          </cell>
          <cell r="K14">
            <v>0</v>
          </cell>
          <cell r="L14">
            <v>0</v>
          </cell>
          <cell r="M14">
            <v>0</v>
          </cell>
          <cell r="N14">
            <v>0</v>
          </cell>
          <cell r="O14">
            <v>0</v>
          </cell>
          <cell r="P14">
            <v>0</v>
          </cell>
          <cell r="Q14">
            <v>0</v>
          </cell>
          <cell r="R14">
            <v>0</v>
          </cell>
          <cell r="S14">
            <v>0</v>
          </cell>
        </row>
        <row r="15">
          <cell r="A15" t="str">
            <v>119.40</v>
          </cell>
          <cell r="B15">
            <v>9</v>
          </cell>
          <cell r="C15" t="str">
            <v>119.22</v>
          </cell>
          <cell r="D15" t="str">
            <v>Sonstige</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row>
        <row r="16">
          <cell r="B16">
            <v>10</v>
          </cell>
          <cell r="H16">
            <v>0</v>
          </cell>
          <cell r="J16">
            <v>0</v>
          </cell>
          <cell r="K16">
            <v>0</v>
          </cell>
          <cell r="L16">
            <v>0</v>
          </cell>
          <cell r="M16">
            <v>0</v>
          </cell>
          <cell r="N16">
            <v>0</v>
          </cell>
          <cell r="O16">
            <v>0</v>
          </cell>
          <cell r="P16">
            <v>0</v>
          </cell>
          <cell r="Q16">
            <v>0</v>
          </cell>
          <cell r="R16">
            <v>0</v>
          </cell>
          <cell r="S16">
            <v>0</v>
          </cell>
        </row>
        <row r="17">
          <cell r="B17" t="e">
            <v>#REF!</v>
          </cell>
          <cell r="H17">
            <v>0</v>
          </cell>
          <cell r="J17">
            <v>0</v>
          </cell>
          <cell r="K17">
            <v>0</v>
          </cell>
          <cell r="L17">
            <v>0</v>
          </cell>
          <cell r="M17">
            <v>0</v>
          </cell>
          <cell r="N17">
            <v>0</v>
          </cell>
          <cell r="O17">
            <v>0</v>
          </cell>
          <cell r="P17">
            <v>0</v>
          </cell>
          <cell r="Q17">
            <v>0</v>
          </cell>
          <cell r="R17">
            <v>0</v>
          </cell>
          <cell r="S17">
            <v>0</v>
          </cell>
        </row>
        <row r="18">
          <cell r="A18" t="str">
            <v>129.00</v>
          </cell>
          <cell r="B18" t="e">
            <v>#REF!</v>
          </cell>
          <cell r="C18">
            <v>0</v>
          </cell>
          <cell r="D18" t="str">
            <v>Teilnahmebeiträge</v>
          </cell>
          <cell r="E18">
            <v>11625</v>
          </cell>
          <cell r="F18">
            <v>0</v>
          </cell>
          <cell r="G18">
            <v>10250</v>
          </cell>
          <cell r="H18">
            <v>800</v>
          </cell>
          <cell r="I18">
            <v>2950</v>
          </cell>
          <cell r="J18">
            <v>466.55</v>
          </cell>
          <cell r="K18">
            <v>533.20000000000005</v>
          </cell>
          <cell r="L18">
            <v>533.20000000000005</v>
          </cell>
          <cell r="M18">
            <v>533.20000000000005</v>
          </cell>
          <cell r="N18">
            <v>533.20000000000005</v>
          </cell>
          <cell r="O18">
            <v>533.20000000000005</v>
          </cell>
          <cell r="P18">
            <v>533.20000000000005</v>
          </cell>
          <cell r="Q18">
            <v>833.2</v>
          </cell>
          <cell r="R18">
            <v>1861.2</v>
          </cell>
          <cell r="S18">
            <v>2161.1999999999998</v>
          </cell>
        </row>
        <row r="19">
          <cell r="A19" t="str">
            <v>129.10</v>
          </cell>
          <cell r="B19" t="e">
            <v>#REF!</v>
          </cell>
          <cell r="C19" t="str">
            <v>129.70 (x0,2)</v>
          </cell>
          <cell r="D19" t="str">
            <v>AStA Seminare</v>
          </cell>
          <cell r="E19">
            <v>500</v>
          </cell>
          <cell r="F19">
            <v>0</v>
          </cell>
          <cell r="G19">
            <v>5200</v>
          </cell>
          <cell r="H19">
            <v>160</v>
          </cell>
          <cell r="I19">
            <v>2500</v>
          </cell>
          <cell r="J19">
            <v>93.31</v>
          </cell>
          <cell r="K19">
            <v>106.64000000000001</v>
          </cell>
          <cell r="L19">
            <v>106.64000000000001</v>
          </cell>
          <cell r="M19">
            <v>106.64000000000001</v>
          </cell>
          <cell r="N19">
            <v>106.64000000000001</v>
          </cell>
          <cell r="O19">
            <v>106.64000000000001</v>
          </cell>
          <cell r="P19">
            <v>106.64000000000001</v>
          </cell>
          <cell r="Q19">
            <v>166.64000000000001</v>
          </cell>
          <cell r="R19">
            <v>372.24</v>
          </cell>
          <cell r="S19">
            <v>432.24</v>
          </cell>
        </row>
        <row r="20">
          <cell r="A20" t="str">
            <v>129.20</v>
          </cell>
          <cell r="B20" t="e">
            <v>#REF!</v>
          </cell>
          <cell r="C20" t="str">
            <v>129.70 (x0,8), 129.80 (x0,25), 129.90 (x0,55)</v>
          </cell>
          <cell r="D20" t="str">
            <v>AStA-Veranstaltungen</v>
          </cell>
          <cell r="E20">
            <v>11125</v>
          </cell>
          <cell r="F20">
            <v>0</v>
          </cell>
          <cell r="G20">
            <v>5050</v>
          </cell>
          <cell r="H20">
            <v>640</v>
          </cell>
          <cell r="I20">
            <v>450</v>
          </cell>
          <cell r="J20">
            <v>373.24</v>
          </cell>
          <cell r="K20">
            <v>426.56000000000006</v>
          </cell>
          <cell r="L20">
            <v>426.56000000000006</v>
          </cell>
          <cell r="M20">
            <v>426.56000000000006</v>
          </cell>
          <cell r="N20">
            <v>426.56000000000006</v>
          </cell>
          <cell r="O20">
            <v>426.56000000000006</v>
          </cell>
          <cell r="P20">
            <v>426.56000000000006</v>
          </cell>
          <cell r="Q20">
            <v>666.56000000000006</v>
          </cell>
          <cell r="R20">
            <v>1488.96</v>
          </cell>
          <cell r="S20">
            <v>1728.96</v>
          </cell>
        </row>
        <row r="21">
          <cell r="A21" t="str">
            <v>129.30</v>
          </cell>
          <cell r="B21" t="e">
            <v>#REF!</v>
          </cell>
          <cell r="C21" t="str">
            <v>n.a.</v>
          </cell>
          <cell r="D21" t="str">
            <v>Stupa-Veranstaltungen</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row>
        <row r="22">
          <cell r="B22">
            <v>17</v>
          </cell>
          <cell r="H22">
            <v>0</v>
          </cell>
          <cell r="J22">
            <v>0</v>
          </cell>
          <cell r="K22">
            <v>0</v>
          </cell>
          <cell r="L22">
            <v>0</v>
          </cell>
          <cell r="M22">
            <v>0</v>
          </cell>
          <cell r="N22">
            <v>0</v>
          </cell>
          <cell r="O22">
            <v>0</v>
          </cell>
          <cell r="P22">
            <v>0</v>
          </cell>
          <cell r="Q22">
            <v>0</v>
          </cell>
          <cell r="R22">
            <v>0</v>
          </cell>
          <cell r="S22">
            <v>0</v>
          </cell>
        </row>
        <row r="23">
          <cell r="A23" t="str">
            <v>130.00</v>
          </cell>
          <cell r="B23">
            <v>18</v>
          </cell>
          <cell r="C23">
            <v>0</v>
          </cell>
          <cell r="D23" t="str">
            <v>Einnahmen aus Bewirtung</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row>
        <row r="24">
          <cell r="A24" t="str">
            <v>130.10</v>
          </cell>
          <cell r="B24">
            <v>19</v>
          </cell>
          <cell r="C24" t="str">
            <v>n.a.</v>
          </cell>
          <cell r="D24" t="str">
            <v>AStA</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row>
        <row r="25">
          <cell r="A25" t="str">
            <v>130.20</v>
          </cell>
          <cell r="B25">
            <v>20</v>
          </cell>
          <cell r="C25" t="str">
            <v>n.a.</v>
          </cell>
          <cell r="D25" t="str">
            <v>SP-Veranstaltungen</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row>
        <row r="26">
          <cell r="B26">
            <v>21</v>
          </cell>
          <cell r="H26">
            <v>0</v>
          </cell>
          <cell r="J26">
            <v>0</v>
          </cell>
          <cell r="K26">
            <v>0</v>
          </cell>
          <cell r="L26">
            <v>0</v>
          </cell>
          <cell r="M26">
            <v>0</v>
          </cell>
          <cell r="N26">
            <v>0</v>
          </cell>
          <cell r="O26">
            <v>0</v>
          </cell>
          <cell r="P26">
            <v>0</v>
          </cell>
          <cell r="Q26">
            <v>0</v>
          </cell>
          <cell r="R26">
            <v>0</v>
          </cell>
          <cell r="S26">
            <v>0</v>
          </cell>
        </row>
        <row r="27">
          <cell r="A27" t="str">
            <v>140.00</v>
          </cell>
          <cell r="B27">
            <v>22</v>
          </cell>
          <cell r="C27">
            <v>0</v>
          </cell>
          <cell r="D27" t="str">
            <v>Einnahmen aus Förderungen und Kooperationen</v>
          </cell>
          <cell r="E27">
            <v>15375</v>
          </cell>
          <cell r="F27">
            <v>0</v>
          </cell>
          <cell r="G27">
            <v>17100</v>
          </cell>
          <cell r="H27">
            <v>0</v>
          </cell>
          <cell r="I27">
            <v>9176.25</v>
          </cell>
          <cell r="J27">
            <v>0</v>
          </cell>
          <cell r="K27">
            <v>0</v>
          </cell>
          <cell r="L27">
            <v>0</v>
          </cell>
          <cell r="M27">
            <v>0</v>
          </cell>
          <cell r="N27">
            <v>0</v>
          </cell>
          <cell r="O27">
            <v>0</v>
          </cell>
          <cell r="P27">
            <v>0</v>
          </cell>
          <cell r="Q27">
            <v>0</v>
          </cell>
          <cell r="R27">
            <v>0</v>
          </cell>
          <cell r="S27">
            <v>0</v>
          </cell>
        </row>
        <row r="28">
          <cell r="A28" t="str">
            <v>140.10</v>
          </cell>
          <cell r="B28">
            <v>23</v>
          </cell>
          <cell r="C28" t="str">
            <v>129.80 (x0,75)</v>
          </cell>
          <cell r="D28" t="str">
            <v>Förderungen Inkl. U. Gleichstellung</v>
          </cell>
          <cell r="E28">
            <v>10875</v>
          </cell>
          <cell r="F28">
            <v>0</v>
          </cell>
          <cell r="G28">
            <v>10800</v>
          </cell>
          <cell r="H28">
            <v>0</v>
          </cell>
          <cell r="I28">
            <v>9176.25</v>
          </cell>
          <cell r="J28">
            <v>0</v>
          </cell>
          <cell r="K28">
            <v>0</v>
          </cell>
          <cell r="L28">
            <v>0</v>
          </cell>
          <cell r="M28">
            <v>0</v>
          </cell>
          <cell r="N28">
            <v>0</v>
          </cell>
          <cell r="O28">
            <v>0</v>
          </cell>
          <cell r="P28">
            <v>0</v>
          </cell>
          <cell r="Q28">
            <v>0</v>
          </cell>
          <cell r="R28">
            <v>0</v>
          </cell>
          <cell r="S28">
            <v>0</v>
          </cell>
        </row>
        <row r="29">
          <cell r="A29" t="str">
            <v>140.20</v>
          </cell>
          <cell r="B29">
            <v>24</v>
          </cell>
          <cell r="C29" t="str">
            <v>129.90 (x0,45)</v>
          </cell>
          <cell r="D29" t="str">
            <v>Förderungen Hopo</v>
          </cell>
          <cell r="E29">
            <v>4500</v>
          </cell>
          <cell r="F29">
            <v>0</v>
          </cell>
          <cell r="G29">
            <v>4800</v>
          </cell>
          <cell r="H29">
            <v>0</v>
          </cell>
          <cell r="I29">
            <v>0</v>
          </cell>
          <cell r="J29">
            <v>0</v>
          </cell>
          <cell r="K29">
            <v>0</v>
          </cell>
          <cell r="L29">
            <v>0</v>
          </cell>
          <cell r="M29">
            <v>0</v>
          </cell>
          <cell r="N29">
            <v>0</v>
          </cell>
          <cell r="O29">
            <v>0</v>
          </cell>
          <cell r="P29">
            <v>0</v>
          </cell>
          <cell r="Q29">
            <v>0</v>
          </cell>
          <cell r="R29">
            <v>0</v>
          </cell>
          <cell r="S29">
            <v>0</v>
          </cell>
        </row>
        <row r="30">
          <cell r="A30" t="str">
            <v>140.30</v>
          </cell>
          <cell r="B30">
            <v>25</v>
          </cell>
          <cell r="C30" t="str">
            <v>n.a.</v>
          </cell>
          <cell r="D30" t="str">
            <v>Sonstige Förderungen und Kooperationen</v>
          </cell>
          <cell r="E30">
            <v>0</v>
          </cell>
          <cell r="F30">
            <v>0</v>
          </cell>
          <cell r="G30">
            <v>1500</v>
          </cell>
          <cell r="H30">
            <v>0</v>
          </cell>
          <cell r="I30">
            <v>0</v>
          </cell>
          <cell r="J30">
            <v>0</v>
          </cell>
          <cell r="K30">
            <v>0</v>
          </cell>
          <cell r="L30">
            <v>0</v>
          </cell>
          <cell r="M30">
            <v>0</v>
          </cell>
          <cell r="N30">
            <v>0</v>
          </cell>
          <cell r="O30">
            <v>0</v>
          </cell>
          <cell r="P30">
            <v>0</v>
          </cell>
          <cell r="Q30">
            <v>0</v>
          </cell>
          <cell r="R30">
            <v>0</v>
          </cell>
          <cell r="S30">
            <v>0</v>
          </cell>
        </row>
        <row r="31">
          <cell r="B31">
            <v>26</v>
          </cell>
          <cell r="H31">
            <v>0</v>
          </cell>
          <cell r="J31">
            <v>0</v>
          </cell>
          <cell r="K31">
            <v>0</v>
          </cell>
          <cell r="L31">
            <v>0</v>
          </cell>
          <cell r="M31">
            <v>0</v>
          </cell>
          <cell r="N31">
            <v>0</v>
          </cell>
          <cell r="O31">
            <v>0</v>
          </cell>
          <cell r="P31">
            <v>0</v>
          </cell>
          <cell r="Q31">
            <v>0</v>
          </cell>
          <cell r="R31">
            <v>0</v>
          </cell>
          <cell r="S31">
            <v>0</v>
          </cell>
        </row>
        <row r="32">
          <cell r="A32" t="str">
            <v>182.00</v>
          </cell>
          <cell r="B32">
            <v>27</v>
          </cell>
          <cell r="C32">
            <v>0</v>
          </cell>
          <cell r="D32" t="str">
            <v>Darlehensrückflüsse</v>
          </cell>
          <cell r="E32">
            <v>7000</v>
          </cell>
          <cell r="F32">
            <v>6229.55</v>
          </cell>
          <cell r="G32">
            <v>3600</v>
          </cell>
          <cell r="H32">
            <v>5262</v>
          </cell>
          <cell r="I32">
            <v>5000</v>
          </cell>
          <cell r="J32">
            <v>184</v>
          </cell>
          <cell r="K32">
            <v>918</v>
          </cell>
          <cell r="L32">
            <v>1132</v>
          </cell>
          <cell r="M32">
            <v>1524</v>
          </cell>
          <cell r="N32">
            <v>1698</v>
          </cell>
          <cell r="O32">
            <v>1840</v>
          </cell>
          <cell r="P32">
            <v>1982</v>
          </cell>
          <cell r="Q32">
            <v>2094</v>
          </cell>
          <cell r="R32">
            <v>2316</v>
          </cell>
          <cell r="S32">
            <v>2428</v>
          </cell>
        </row>
        <row r="33">
          <cell r="A33" t="str">
            <v>182.10</v>
          </cell>
          <cell r="B33">
            <v>28</v>
          </cell>
          <cell r="C33" t="str">
            <v>182.00</v>
          </cell>
          <cell r="D33" t="str">
            <v>Aus Darlehen</v>
          </cell>
          <cell r="E33">
            <v>7000</v>
          </cell>
          <cell r="F33">
            <v>6229.55</v>
          </cell>
          <cell r="G33">
            <v>3600</v>
          </cell>
          <cell r="H33">
            <v>5262</v>
          </cell>
          <cell r="I33">
            <v>5000</v>
          </cell>
          <cell r="J33">
            <v>184</v>
          </cell>
          <cell r="K33">
            <v>918</v>
          </cell>
          <cell r="L33">
            <v>1132</v>
          </cell>
          <cell r="M33">
            <v>1524</v>
          </cell>
          <cell r="N33">
            <v>1698</v>
          </cell>
          <cell r="O33">
            <v>1840</v>
          </cell>
          <cell r="P33">
            <v>1982</v>
          </cell>
          <cell r="Q33">
            <v>2094</v>
          </cell>
          <cell r="R33">
            <v>2316</v>
          </cell>
          <cell r="S33">
            <v>2428</v>
          </cell>
        </row>
        <row r="34">
          <cell r="A34" t="str">
            <v>182.20</v>
          </cell>
          <cell r="B34">
            <v>29</v>
          </cell>
          <cell r="C34" t="str">
            <v>n.a.</v>
          </cell>
          <cell r="D34" t="str">
            <v>Aus Internationalisierungsdarlehen</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row>
        <row r="35">
          <cell r="B35">
            <v>30</v>
          </cell>
          <cell r="H35">
            <v>0</v>
          </cell>
          <cell r="J35">
            <v>0</v>
          </cell>
          <cell r="K35">
            <v>0</v>
          </cell>
          <cell r="L35">
            <v>0</v>
          </cell>
          <cell r="M35">
            <v>0</v>
          </cell>
          <cell r="N35">
            <v>0</v>
          </cell>
          <cell r="O35">
            <v>0</v>
          </cell>
          <cell r="P35">
            <v>0</v>
          </cell>
          <cell r="Q35">
            <v>0</v>
          </cell>
          <cell r="R35">
            <v>0</v>
          </cell>
          <cell r="S35">
            <v>0</v>
          </cell>
        </row>
        <row r="36">
          <cell r="A36" t="str">
            <v>Plan 2</v>
          </cell>
          <cell r="B36">
            <v>31</v>
          </cell>
          <cell r="C36">
            <v>0</v>
          </cell>
          <cell r="D36" t="str">
            <v>Einnahmen Fachschaften</v>
          </cell>
          <cell r="E36">
            <v>85000</v>
          </cell>
          <cell r="F36">
            <v>89402</v>
          </cell>
          <cell r="G36">
            <v>146529.5</v>
          </cell>
          <cell r="H36">
            <v>71915.37</v>
          </cell>
          <cell r="I36">
            <v>118160</v>
          </cell>
          <cell r="J36">
            <v>1091.0999999999999</v>
          </cell>
          <cell r="K36">
            <v>6327.5</v>
          </cell>
          <cell r="L36">
            <v>9421.2999999999993</v>
          </cell>
          <cell r="M36">
            <v>30211.200000000001</v>
          </cell>
          <cell r="N36">
            <v>39805.199999999997</v>
          </cell>
          <cell r="O36">
            <v>41515.800000000003</v>
          </cell>
          <cell r="P36">
            <v>43835.4</v>
          </cell>
          <cell r="Q36">
            <v>45963.6</v>
          </cell>
          <cell r="R36">
            <v>52806.6</v>
          </cell>
          <cell r="S36">
            <v>69212.649999999994</v>
          </cell>
        </row>
        <row r="37">
          <cell r="A37" t="str">
            <v>210.00</v>
          </cell>
          <cell r="B37">
            <v>32</v>
          </cell>
          <cell r="C37">
            <v>0</v>
          </cell>
          <cell r="D37" t="str">
            <v>Teilnahmebeiträge Seminare Fachschaften</v>
          </cell>
          <cell r="E37">
            <v>85000</v>
          </cell>
          <cell r="F37">
            <v>89402</v>
          </cell>
          <cell r="G37">
            <v>145329.5</v>
          </cell>
          <cell r="H37">
            <v>71915.37</v>
          </cell>
          <cell r="I37">
            <v>117660</v>
          </cell>
          <cell r="J37">
            <v>1091.0999999999999</v>
          </cell>
          <cell r="K37">
            <v>6327.5</v>
          </cell>
          <cell r="L37">
            <v>9421.2999999999993</v>
          </cell>
          <cell r="M37">
            <v>30211.200000000001</v>
          </cell>
          <cell r="N37">
            <v>39805.199999999997</v>
          </cell>
          <cell r="O37">
            <v>41515.800000000003</v>
          </cell>
          <cell r="P37">
            <v>43835.4</v>
          </cell>
          <cell r="Q37">
            <v>45963.6</v>
          </cell>
          <cell r="R37">
            <v>52806.6</v>
          </cell>
          <cell r="S37">
            <v>69212.649999999994</v>
          </cell>
        </row>
        <row r="38">
          <cell r="A38" t="str">
            <v>210.10</v>
          </cell>
          <cell r="B38">
            <v>33</v>
          </cell>
          <cell r="C38" t="str">
            <v>129.10</v>
          </cell>
          <cell r="D38" t="str">
            <v>FSR WiWi</v>
          </cell>
          <cell r="E38">
            <v>23000</v>
          </cell>
          <cell r="F38">
            <v>37605</v>
          </cell>
          <cell r="G38">
            <v>56381</v>
          </cell>
          <cell r="H38">
            <v>37655.370000000003</v>
          </cell>
          <cell r="I38">
            <v>46150</v>
          </cell>
          <cell r="J38">
            <v>286.10000000000002</v>
          </cell>
          <cell r="K38">
            <v>4627.5</v>
          </cell>
          <cell r="L38">
            <v>7721.3</v>
          </cell>
          <cell r="M38">
            <v>16976.2</v>
          </cell>
          <cell r="N38">
            <v>22965.200000000001</v>
          </cell>
          <cell r="O38">
            <v>23615.8</v>
          </cell>
          <cell r="P38">
            <v>23815.4</v>
          </cell>
          <cell r="Q38">
            <v>24713.599999999999</v>
          </cell>
          <cell r="R38">
            <v>30701.599999999999</v>
          </cell>
          <cell r="S38">
            <v>37662.65</v>
          </cell>
        </row>
        <row r="39">
          <cell r="A39" t="str">
            <v>210.20</v>
          </cell>
          <cell r="B39">
            <v>34</v>
          </cell>
          <cell r="C39" t="str">
            <v>129.20</v>
          </cell>
          <cell r="D39" t="str">
            <v>FSR KSW</v>
          </cell>
          <cell r="E39">
            <v>1500</v>
          </cell>
          <cell r="F39">
            <v>318</v>
          </cell>
          <cell r="G39">
            <v>10576</v>
          </cell>
          <cell r="H39">
            <v>2690</v>
          </cell>
          <cell r="I39">
            <v>8510</v>
          </cell>
          <cell r="J39">
            <v>945</v>
          </cell>
          <cell r="K39">
            <v>1065</v>
          </cell>
          <cell r="L39">
            <v>1065</v>
          </cell>
          <cell r="M39">
            <v>1065</v>
          </cell>
          <cell r="N39">
            <v>1065</v>
          </cell>
          <cell r="O39">
            <v>1275</v>
          </cell>
          <cell r="P39">
            <v>2040</v>
          </cell>
          <cell r="Q39">
            <v>2205</v>
          </cell>
          <cell r="R39">
            <v>2520</v>
          </cell>
          <cell r="S39">
            <v>2595</v>
          </cell>
        </row>
        <row r="40">
          <cell r="A40" t="str">
            <v>210.30</v>
          </cell>
          <cell r="B40">
            <v>35</v>
          </cell>
          <cell r="C40" t="str">
            <v>129.60</v>
          </cell>
          <cell r="D40" t="str">
            <v>FSR PSY</v>
          </cell>
          <cell r="E40">
            <v>24000</v>
          </cell>
          <cell r="F40">
            <v>23964</v>
          </cell>
          <cell r="G40">
            <v>29222</v>
          </cell>
          <cell r="H40">
            <v>0</v>
          </cell>
          <cell r="I40">
            <v>24000</v>
          </cell>
          <cell r="J40">
            <v>0</v>
          </cell>
          <cell r="K40">
            <v>0</v>
          </cell>
          <cell r="L40">
            <v>0</v>
          </cell>
          <cell r="M40">
            <v>0</v>
          </cell>
          <cell r="N40">
            <v>0</v>
          </cell>
          <cell r="O40">
            <v>0</v>
          </cell>
          <cell r="P40">
            <v>0</v>
          </cell>
          <cell r="Q40">
            <v>0</v>
          </cell>
          <cell r="R40">
            <v>0</v>
          </cell>
          <cell r="S40">
            <v>0</v>
          </cell>
        </row>
        <row r="41">
          <cell r="A41" t="str">
            <v>210.40</v>
          </cell>
          <cell r="B41">
            <v>36</v>
          </cell>
          <cell r="C41" t="str">
            <v>129.40</v>
          </cell>
          <cell r="D41" t="str">
            <v>FSR ReWi</v>
          </cell>
          <cell r="E41">
            <v>32000</v>
          </cell>
          <cell r="F41">
            <v>24965</v>
          </cell>
          <cell r="G41">
            <v>29578</v>
          </cell>
          <cell r="H41">
            <v>23885</v>
          </cell>
          <cell r="I41">
            <v>23500</v>
          </cell>
          <cell r="J41">
            <v>-30</v>
          </cell>
          <cell r="K41">
            <v>-80</v>
          </cell>
          <cell r="L41">
            <v>-80</v>
          </cell>
          <cell r="M41">
            <v>9710</v>
          </cell>
          <cell r="N41">
            <v>12610</v>
          </cell>
          <cell r="O41">
            <v>13460</v>
          </cell>
          <cell r="P41">
            <v>13660</v>
          </cell>
          <cell r="Q41">
            <v>13760</v>
          </cell>
          <cell r="R41">
            <v>13760</v>
          </cell>
          <cell r="S41">
            <v>22060</v>
          </cell>
        </row>
        <row r="42">
          <cell r="A42" t="str">
            <v>210.50</v>
          </cell>
          <cell r="B42">
            <v>37</v>
          </cell>
          <cell r="C42" t="str">
            <v>129.30</v>
          </cell>
          <cell r="D42" t="str">
            <v>FSR M+I</v>
          </cell>
          <cell r="E42">
            <v>4500</v>
          </cell>
          <cell r="F42">
            <v>2550</v>
          </cell>
          <cell r="G42">
            <v>19572.5</v>
          </cell>
          <cell r="H42">
            <v>7685</v>
          </cell>
          <cell r="I42">
            <v>15500</v>
          </cell>
          <cell r="J42">
            <v>-110</v>
          </cell>
          <cell r="K42">
            <v>715</v>
          </cell>
          <cell r="L42">
            <v>715</v>
          </cell>
          <cell r="M42">
            <v>2460</v>
          </cell>
          <cell r="N42">
            <v>3165</v>
          </cell>
          <cell r="O42">
            <v>3165</v>
          </cell>
          <cell r="P42">
            <v>4320</v>
          </cell>
          <cell r="Q42">
            <v>5285</v>
          </cell>
          <cell r="R42">
            <v>5825</v>
          </cell>
          <cell r="S42">
            <v>6895</v>
          </cell>
        </row>
        <row r="43">
          <cell r="B43">
            <v>38</v>
          </cell>
          <cell r="H43">
            <v>0</v>
          </cell>
          <cell r="J43">
            <v>0</v>
          </cell>
          <cell r="K43">
            <v>0</v>
          </cell>
          <cell r="L43">
            <v>0</v>
          </cell>
          <cell r="M43">
            <v>0</v>
          </cell>
          <cell r="N43">
            <v>0</v>
          </cell>
          <cell r="O43">
            <v>0</v>
          </cell>
          <cell r="P43">
            <v>0</v>
          </cell>
          <cell r="Q43">
            <v>0</v>
          </cell>
          <cell r="R43">
            <v>0</v>
          </cell>
          <cell r="S43">
            <v>0</v>
          </cell>
        </row>
        <row r="44">
          <cell r="A44" t="str">
            <v>220.00</v>
          </cell>
          <cell r="B44">
            <v>39</v>
          </cell>
          <cell r="C44">
            <v>0</v>
          </cell>
          <cell r="D44" t="str">
            <v>Teilnahmebeiträge Veranstaltungen Fachschaften</v>
          </cell>
          <cell r="E44">
            <v>0</v>
          </cell>
          <cell r="F44">
            <v>0</v>
          </cell>
          <cell r="G44">
            <v>1200</v>
          </cell>
          <cell r="H44">
            <v>0</v>
          </cell>
          <cell r="I44">
            <v>500</v>
          </cell>
          <cell r="J44">
            <v>0</v>
          </cell>
          <cell r="K44">
            <v>0</v>
          </cell>
          <cell r="L44">
            <v>0</v>
          </cell>
          <cell r="M44">
            <v>0</v>
          </cell>
          <cell r="N44">
            <v>0</v>
          </cell>
          <cell r="O44">
            <v>0</v>
          </cell>
          <cell r="P44">
            <v>0</v>
          </cell>
          <cell r="Q44">
            <v>0</v>
          </cell>
          <cell r="R44">
            <v>0</v>
          </cell>
          <cell r="S44">
            <v>0</v>
          </cell>
        </row>
        <row r="45">
          <cell r="A45" t="str">
            <v>220.10</v>
          </cell>
          <cell r="B45">
            <v>40</v>
          </cell>
          <cell r="C45" t="str">
            <v>n.a.</v>
          </cell>
          <cell r="D45" t="str">
            <v>FSR WiWi</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row>
        <row r="46">
          <cell r="A46" t="str">
            <v>220.20</v>
          </cell>
          <cell r="B46">
            <v>41</v>
          </cell>
          <cell r="C46" t="str">
            <v>n.a.</v>
          </cell>
          <cell r="D46" t="str">
            <v>FSR KSW</v>
          </cell>
          <cell r="E46">
            <v>0</v>
          </cell>
          <cell r="F46">
            <v>0</v>
          </cell>
          <cell r="G46">
            <v>1200</v>
          </cell>
          <cell r="H46">
            <v>0</v>
          </cell>
          <cell r="I46">
            <v>500</v>
          </cell>
          <cell r="J46">
            <v>0</v>
          </cell>
          <cell r="K46">
            <v>0</v>
          </cell>
          <cell r="L46">
            <v>0</v>
          </cell>
          <cell r="M46">
            <v>0</v>
          </cell>
          <cell r="N46">
            <v>0</v>
          </cell>
          <cell r="O46">
            <v>0</v>
          </cell>
          <cell r="P46">
            <v>0</v>
          </cell>
          <cell r="Q46">
            <v>0</v>
          </cell>
          <cell r="R46">
            <v>0</v>
          </cell>
          <cell r="S46">
            <v>0</v>
          </cell>
        </row>
        <row r="47">
          <cell r="A47" t="str">
            <v>220.30</v>
          </cell>
          <cell r="B47">
            <v>42</v>
          </cell>
          <cell r="C47" t="str">
            <v>n.a.</v>
          </cell>
          <cell r="D47" t="str">
            <v>FSR PSY</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row>
        <row r="48">
          <cell r="A48" t="str">
            <v>220.40</v>
          </cell>
          <cell r="B48">
            <v>43</v>
          </cell>
          <cell r="C48" t="str">
            <v>n.a.</v>
          </cell>
          <cell r="D48" t="str">
            <v>FSR ReWi</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row>
        <row r="49">
          <cell r="A49" t="str">
            <v>220.50</v>
          </cell>
          <cell r="B49">
            <v>44</v>
          </cell>
          <cell r="C49" t="str">
            <v>n.a.</v>
          </cell>
          <cell r="D49" t="str">
            <v>FSR M+I</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row>
        <row r="50">
          <cell r="B50">
            <v>45</v>
          </cell>
          <cell r="H50">
            <v>0</v>
          </cell>
          <cell r="J50">
            <v>0</v>
          </cell>
          <cell r="K50">
            <v>0</v>
          </cell>
          <cell r="L50">
            <v>0</v>
          </cell>
          <cell r="M50">
            <v>0</v>
          </cell>
          <cell r="N50">
            <v>0</v>
          </cell>
          <cell r="O50">
            <v>0</v>
          </cell>
          <cell r="P50">
            <v>0</v>
          </cell>
          <cell r="Q50">
            <v>0</v>
          </cell>
          <cell r="R50">
            <v>0</v>
          </cell>
          <cell r="S50">
            <v>0</v>
          </cell>
        </row>
        <row r="51">
          <cell r="A51" t="str">
            <v>230.00</v>
          </cell>
          <cell r="B51">
            <v>46</v>
          </cell>
          <cell r="C51">
            <v>0</v>
          </cell>
          <cell r="D51" t="str">
            <v>Sonstige (Werbung, Förderungen, Bewirtung)</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A52" t="str">
            <v>230.10</v>
          </cell>
          <cell r="B52">
            <v>47</v>
          </cell>
          <cell r="C52" t="str">
            <v>n.a.</v>
          </cell>
          <cell r="D52" t="str">
            <v>FSR WiWi</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row>
        <row r="53">
          <cell r="A53" t="str">
            <v>230.20</v>
          </cell>
          <cell r="B53">
            <v>48</v>
          </cell>
          <cell r="C53" t="str">
            <v>n.a.</v>
          </cell>
          <cell r="D53" t="str">
            <v>FSR KSW</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row>
        <row r="54">
          <cell r="A54" t="str">
            <v>230.30</v>
          </cell>
          <cell r="B54">
            <v>49</v>
          </cell>
          <cell r="C54" t="str">
            <v>n.a.</v>
          </cell>
          <cell r="D54" t="str">
            <v>FSR PSY</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row>
        <row r="55">
          <cell r="A55" t="str">
            <v>230.40</v>
          </cell>
          <cell r="B55">
            <v>50</v>
          </cell>
          <cell r="C55" t="str">
            <v>n.a.</v>
          </cell>
          <cell r="D55" t="str">
            <v>FSR ReWi</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row>
        <row r="56">
          <cell r="A56" t="str">
            <v>230.50</v>
          </cell>
          <cell r="B56">
            <v>51</v>
          </cell>
          <cell r="C56" t="str">
            <v>n.a.</v>
          </cell>
          <cell r="D56" t="str">
            <v>FSR M+I</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row>
        <row r="57">
          <cell r="B57">
            <v>52</v>
          </cell>
          <cell r="H57">
            <v>0</v>
          </cell>
          <cell r="J57">
            <v>0</v>
          </cell>
          <cell r="K57">
            <v>0</v>
          </cell>
          <cell r="L57">
            <v>0</v>
          </cell>
          <cell r="M57">
            <v>0</v>
          </cell>
          <cell r="N57">
            <v>0</v>
          </cell>
          <cell r="O57">
            <v>0</v>
          </cell>
          <cell r="P57">
            <v>0</v>
          </cell>
          <cell r="Q57">
            <v>0</v>
          </cell>
          <cell r="R57">
            <v>0</v>
          </cell>
          <cell r="S57">
            <v>0</v>
          </cell>
        </row>
        <row r="58">
          <cell r="B58">
            <v>53</v>
          </cell>
          <cell r="H58">
            <v>0</v>
          </cell>
          <cell r="J58">
            <v>0</v>
          </cell>
          <cell r="K58">
            <v>0</v>
          </cell>
          <cell r="L58">
            <v>0</v>
          </cell>
          <cell r="M58">
            <v>0</v>
          </cell>
          <cell r="N58">
            <v>0</v>
          </cell>
          <cell r="O58">
            <v>0</v>
          </cell>
          <cell r="P58">
            <v>0</v>
          </cell>
          <cell r="Q58">
            <v>0</v>
          </cell>
          <cell r="R58">
            <v>0</v>
          </cell>
          <cell r="S58">
            <v>0</v>
          </cell>
        </row>
        <row r="59">
          <cell r="B59">
            <v>54</v>
          </cell>
          <cell r="H59">
            <v>0</v>
          </cell>
          <cell r="J59">
            <v>0</v>
          </cell>
          <cell r="K59">
            <v>0</v>
          </cell>
          <cell r="L59">
            <v>0</v>
          </cell>
          <cell r="M59">
            <v>0</v>
          </cell>
          <cell r="N59">
            <v>0</v>
          </cell>
          <cell r="O59">
            <v>0</v>
          </cell>
          <cell r="P59">
            <v>0</v>
          </cell>
          <cell r="Q59">
            <v>0</v>
          </cell>
          <cell r="R59">
            <v>0</v>
          </cell>
          <cell r="S59">
            <v>0</v>
          </cell>
        </row>
        <row r="60">
          <cell r="A60" t="str">
            <v>Plan 3</v>
          </cell>
          <cell r="B60">
            <v>54</v>
          </cell>
          <cell r="C60">
            <v>0</v>
          </cell>
          <cell r="D60" t="str">
            <v>Rücklagen, Vorjahresvortrag, durchlaufende Gelder</v>
          </cell>
          <cell r="E60">
            <v>795000</v>
          </cell>
          <cell r="F60">
            <v>820360.34</v>
          </cell>
          <cell r="G60">
            <v>345497.78</v>
          </cell>
          <cell r="H60">
            <v>285497.78000000003</v>
          </cell>
          <cell r="I60">
            <v>689841.07</v>
          </cell>
          <cell r="J60">
            <v>689481.07</v>
          </cell>
          <cell r="K60">
            <v>689481.07</v>
          </cell>
          <cell r="L60">
            <v>689481.07</v>
          </cell>
          <cell r="M60">
            <v>689481.07</v>
          </cell>
          <cell r="N60">
            <v>689481.07</v>
          </cell>
          <cell r="O60">
            <v>689481.07</v>
          </cell>
          <cell r="P60">
            <v>689481.07</v>
          </cell>
          <cell r="Q60">
            <v>689481.07</v>
          </cell>
          <cell r="R60">
            <v>689481.07</v>
          </cell>
          <cell r="S60">
            <v>689481.07</v>
          </cell>
        </row>
        <row r="61">
          <cell r="A61" t="str">
            <v>352.00</v>
          </cell>
          <cell r="B61">
            <v>55</v>
          </cell>
          <cell r="C61">
            <v>0</v>
          </cell>
          <cell r="D61" t="str">
            <v>Entnahmen aus der Rücklage</v>
          </cell>
          <cell r="E61">
            <v>195000</v>
          </cell>
          <cell r="F61">
            <v>195000</v>
          </cell>
          <cell r="G61">
            <v>60000</v>
          </cell>
          <cell r="H61">
            <v>0</v>
          </cell>
          <cell r="I61">
            <v>0</v>
          </cell>
          <cell r="J61">
            <v>0</v>
          </cell>
          <cell r="K61">
            <v>0</v>
          </cell>
          <cell r="L61">
            <v>0</v>
          </cell>
          <cell r="M61">
            <v>0</v>
          </cell>
          <cell r="N61">
            <v>0</v>
          </cell>
          <cell r="O61">
            <v>0</v>
          </cell>
          <cell r="P61">
            <v>0</v>
          </cell>
          <cell r="Q61">
            <v>0</v>
          </cell>
          <cell r="R61">
            <v>0</v>
          </cell>
          <cell r="S61">
            <v>0</v>
          </cell>
        </row>
        <row r="62">
          <cell r="A62" t="str">
            <v>352.10</v>
          </cell>
          <cell r="B62">
            <v>56</v>
          </cell>
          <cell r="C62" t="str">
            <v>352.00</v>
          </cell>
          <cell r="D62" t="str">
            <v>Allgemeine Rücklage</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row>
        <row r="63">
          <cell r="A63" t="str">
            <v>352.20</v>
          </cell>
          <cell r="B63">
            <v>57</v>
          </cell>
          <cell r="C63" t="str">
            <v>353.00</v>
          </cell>
          <cell r="D63" t="str">
            <v>Sonderrücklage Wahlen</v>
          </cell>
          <cell r="E63">
            <v>195000</v>
          </cell>
          <cell r="F63">
            <v>195000</v>
          </cell>
          <cell r="G63">
            <v>0</v>
          </cell>
          <cell r="H63">
            <v>0</v>
          </cell>
          <cell r="I63">
            <v>0</v>
          </cell>
          <cell r="J63">
            <v>0</v>
          </cell>
          <cell r="K63">
            <v>0</v>
          </cell>
          <cell r="L63">
            <v>0</v>
          </cell>
          <cell r="M63">
            <v>0</v>
          </cell>
          <cell r="N63">
            <v>0</v>
          </cell>
          <cell r="O63">
            <v>0</v>
          </cell>
          <cell r="P63">
            <v>0</v>
          </cell>
          <cell r="Q63">
            <v>0</v>
          </cell>
          <cell r="R63">
            <v>0</v>
          </cell>
          <cell r="S63">
            <v>0</v>
          </cell>
        </row>
        <row r="64">
          <cell r="A64" t="str">
            <v>352.30</v>
          </cell>
          <cell r="B64">
            <v>58</v>
          </cell>
          <cell r="C64" t="str">
            <v>n.a.</v>
          </cell>
          <cell r="D64" t="str">
            <v>Schwankungsrücklage Wahlen</v>
          </cell>
          <cell r="E64">
            <v>0</v>
          </cell>
          <cell r="F64">
            <v>0</v>
          </cell>
          <cell r="G64">
            <v>60000</v>
          </cell>
          <cell r="H64">
            <v>0</v>
          </cell>
          <cell r="I64">
            <v>0</v>
          </cell>
          <cell r="J64">
            <v>0</v>
          </cell>
          <cell r="K64">
            <v>0</v>
          </cell>
          <cell r="L64">
            <v>0</v>
          </cell>
          <cell r="M64">
            <v>0</v>
          </cell>
          <cell r="N64">
            <v>0</v>
          </cell>
          <cell r="O64">
            <v>0</v>
          </cell>
          <cell r="P64">
            <v>0</v>
          </cell>
          <cell r="Q64">
            <v>0</v>
          </cell>
          <cell r="R64">
            <v>0</v>
          </cell>
          <cell r="S64">
            <v>0</v>
          </cell>
        </row>
        <row r="65">
          <cell r="B65">
            <v>60</v>
          </cell>
          <cell r="H65">
            <v>0</v>
          </cell>
          <cell r="J65">
            <v>0</v>
          </cell>
          <cell r="K65">
            <v>0</v>
          </cell>
          <cell r="L65">
            <v>0</v>
          </cell>
          <cell r="M65">
            <v>0</v>
          </cell>
          <cell r="N65">
            <v>0</v>
          </cell>
          <cell r="O65">
            <v>0</v>
          </cell>
          <cell r="P65">
            <v>0</v>
          </cell>
          <cell r="Q65">
            <v>0</v>
          </cell>
          <cell r="R65">
            <v>0</v>
          </cell>
          <cell r="S65">
            <v>0</v>
          </cell>
        </row>
        <row r="66">
          <cell r="A66" t="str">
            <v>360.00</v>
          </cell>
          <cell r="B66">
            <v>61</v>
          </cell>
          <cell r="C66">
            <v>0</v>
          </cell>
          <cell r="D66" t="str">
            <v>Vorjahresvortrag</v>
          </cell>
          <cell r="E66">
            <v>600000</v>
          </cell>
          <cell r="F66">
            <v>625360.34</v>
          </cell>
          <cell r="G66">
            <v>285497.78000000003</v>
          </cell>
          <cell r="H66">
            <v>285497.78000000003</v>
          </cell>
          <cell r="I66">
            <v>689841.07</v>
          </cell>
          <cell r="J66">
            <v>689481.07</v>
          </cell>
          <cell r="K66">
            <v>689481.07</v>
          </cell>
          <cell r="L66">
            <v>689481.07</v>
          </cell>
          <cell r="M66">
            <v>689481.07</v>
          </cell>
          <cell r="N66">
            <v>689481.07</v>
          </cell>
          <cell r="O66">
            <v>689481.07</v>
          </cell>
          <cell r="P66">
            <v>689481.07</v>
          </cell>
          <cell r="Q66">
            <v>689481.07</v>
          </cell>
          <cell r="R66">
            <v>689481.07</v>
          </cell>
          <cell r="S66">
            <v>689481.07</v>
          </cell>
        </row>
        <row r="67">
          <cell r="A67" t="str">
            <v>360.10</v>
          </cell>
          <cell r="B67">
            <v>62</v>
          </cell>
          <cell r="C67" t="str">
            <v>360.00</v>
          </cell>
          <cell r="D67" t="str">
            <v>Überschuss Vorjahr</v>
          </cell>
          <cell r="E67">
            <v>600000</v>
          </cell>
          <cell r="F67">
            <v>625360.34</v>
          </cell>
          <cell r="G67">
            <v>285497.78000000003</v>
          </cell>
          <cell r="H67">
            <v>285497.78000000003</v>
          </cell>
          <cell r="I67">
            <v>689841.07</v>
          </cell>
          <cell r="J67">
            <v>689481.07</v>
          </cell>
          <cell r="K67">
            <v>689481.07</v>
          </cell>
          <cell r="L67">
            <v>689481.07</v>
          </cell>
          <cell r="M67">
            <v>689481.07</v>
          </cell>
          <cell r="N67">
            <v>689481.07</v>
          </cell>
          <cell r="O67">
            <v>689481.07</v>
          </cell>
          <cell r="P67">
            <v>689481.07</v>
          </cell>
          <cell r="Q67">
            <v>689481.07</v>
          </cell>
          <cell r="R67">
            <v>689481.07</v>
          </cell>
          <cell r="S67">
            <v>689481.07</v>
          </cell>
        </row>
        <row r="68">
          <cell r="A68" t="str">
            <v>360.20</v>
          </cell>
          <cell r="B68">
            <v>63</v>
          </cell>
          <cell r="C68" t="str">
            <v>n.a.</v>
          </cell>
          <cell r="D68" t="str">
            <v>Sonstige Vorträge</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row>
        <row r="69">
          <cell r="B69">
            <v>64</v>
          </cell>
          <cell r="H69">
            <v>0</v>
          </cell>
          <cell r="J69">
            <v>0</v>
          </cell>
          <cell r="K69">
            <v>0</v>
          </cell>
          <cell r="L69">
            <v>0</v>
          </cell>
          <cell r="M69">
            <v>0</v>
          </cell>
          <cell r="N69">
            <v>0</v>
          </cell>
          <cell r="O69">
            <v>0</v>
          </cell>
          <cell r="P69">
            <v>0</v>
          </cell>
          <cell r="Q69">
            <v>0</v>
          </cell>
          <cell r="R69">
            <v>0</v>
          </cell>
          <cell r="S69">
            <v>0</v>
          </cell>
        </row>
        <row r="70">
          <cell r="A70" t="str">
            <v>380.00</v>
          </cell>
          <cell r="B70">
            <v>65</v>
          </cell>
          <cell r="C70">
            <v>0</v>
          </cell>
          <cell r="D70" t="str">
            <v>Kautionen, Durchlaufende Gelder AStA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row>
        <row r="71">
          <cell r="A71" t="str">
            <v>382.10</v>
          </cell>
          <cell r="B71">
            <v>66</v>
          </cell>
          <cell r="C71" t="str">
            <v>n.a.</v>
          </cell>
          <cell r="D71" t="str">
            <v>Kautionen Materialverleih</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row>
        <row r="72">
          <cell r="A72" t="str">
            <v>382.20</v>
          </cell>
          <cell r="B72">
            <v>67</v>
          </cell>
          <cell r="C72" t="str">
            <v>130.00</v>
          </cell>
          <cell r="D72" t="str">
            <v>Vorverkaufseinnahmen Bewirtung</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row>
        <row r="73">
          <cell r="B73">
            <v>68</v>
          </cell>
          <cell r="H73">
            <v>0</v>
          </cell>
          <cell r="J73">
            <v>0</v>
          </cell>
          <cell r="K73">
            <v>0</v>
          </cell>
          <cell r="L73">
            <v>0</v>
          </cell>
          <cell r="M73">
            <v>0</v>
          </cell>
          <cell r="N73">
            <v>0</v>
          </cell>
          <cell r="O73">
            <v>0</v>
          </cell>
          <cell r="P73">
            <v>0</v>
          </cell>
          <cell r="Q73">
            <v>0</v>
          </cell>
          <cell r="R73">
            <v>0</v>
          </cell>
          <cell r="S73">
            <v>0</v>
          </cell>
        </row>
        <row r="74">
          <cell r="B74">
            <v>70</v>
          </cell>
          <cell r="D74" t="str">
            <v>Einnahmen Gesamt</v>
          </cell>
          <cell r="E74">
            <v>1480000</v>
          </cell>
          <cell r="F74">
            <v>1500919.53</v>
          </cell>
          <cell r="G74">
            <v>1568977.28</v>
          </cell>
          <cell r="H74">
            <v>1433893.8299999998</v>
          </cell>
          <cell r="I74">
            <v>1582227.3199999998</v>
          </cell>
          <cell r="J74">
            <v>937833.09</v>
          </cell>
          <cell r="K74">
            <v>1141388.6199999999</v>
          </cell>
          <cell r="L74">
            <v>1190112.3399999999</v>
          </cell>
          <cell r="M74">
            <v>1211898.24</v>
          </cell>
          <cell r="N74">
            <v>1227973.5</v>
          </cell>
          <cell r="O74">
            <v>1254018.0499999998</v>
          </cell>
          <cell r="P74">
            <v>1513694.5</v>
          </cell>
          <cell r="Q74">
            <v>1726600.16</v>
          </cell>
          <cell r="R74">
            <v>1764119.69</v>
          </cell>
          <cell r="S74">
            <v>1786963.7399999998</v>
          </cell>
        </row>
        <row r="75">
          <cell r="B75">
            <v>71</v>
          </cell>
          <cell r="H75">
            <v>0</v>
          </cell>
          <cell r="J75">
            <v>0</v>
          </cell>
          <cell r="K75">
            <v>0</v>
          </cell>
          <cell r="L75">
            <v>0</v>
          </cell>
          <cell r="M75">
            <v>0</v>
          </cell>
          <cell r="N75">
            <v>0</v>
          </cell>
          <cell r="O75">
            <v>0</v>
          </cell>
          <cell r="P75">
            <v>0</v>
          </cell>
          <cell r="Q75">
            <v>0</v>
          </cell>
          <cell r="R75">
            <v>0</v>
          </cell>
          <cell r="S75">
            <v>0</v>
          </cell>
        </row>
        <row r="76">
          <cell r="A76" t="str">
            <v>Ausgaben</v>
          </cell>
          <cell r="B76">
            <v>72</v>
          </cell>
          <cell r="C76">
            <v>0</v>
          </cell>
          <cell r="H76">
            <v>0</v>
          </cell>
          <cell r="J76">
            <v>0</v>
          </cell>
          <cell r="K76">
            <v>0</v>
          </cell>
          <cell r="L76">
            <v>0</v>
          </cell>
          <cell r="M76">
            <v>0</v>
          </cell>
          <cell r="N76">
            <v>0</v>
          </cell>
          <cell r="O76">
            <v>0</v>
          </cell>
          <cell r="P76">
            <v>0</v>
          </cell>
          <cell r="Q76">
            <v>0</v>
          </cell>
          <cell r="R76">
            <v>0</v>
          </cell>
          <cell r="S76">
            <v>0</v>
          </cell>
        </row>
        <row r="77">
          <cell r="B77">
            <v>73</v>
          </cell>
          <cell r="H77">
            <v>0</v>
          </cell>
          <cell r="J77">
            <v>0</v>
          </cell>
          <cell r="K77">
            <v>0</v>
          </cell>
          <cell r="L77">
            <v>0</v>
          </cell>
          <cell r="M77">
            <v>0</v>
          </cell>
          <cell r="N77">
            <v>0</v>
          </cell>
          <cell r="O77">
            <v>0</v>
          </cell>
          <cell r="P77">
            <v>0</v>
          </cell>
          <cell r="Q77">
            <v>0</v>
          </cell>
          <cell r="R77">
            <v>0</v>
          </cell>
          <cell r="S77">
            <v>0</v>
          </cell>
        </row>
        <row r="78">
          <cell r="A78" t="str">
            <v>Plan 4</v>
          </cell>
          <cell r="B78" t="e">
            <v>#REF!</v>
          </cell>
          <cell r="C78">
            <v>0</v>
          </cell>
          <cell r="D78" t="str">
            <v>Personalausgaben und Aufwandsentschädigungen</v>
          </cell>
          <cell r="E78">
            <v>460235</v>
          </cell>
          <cell r="F78">
            <v>407438.27</v>
          </cell>
          <cell r="G78">
            <v>498755</v>
          </cell>
          <cell r="H78">
            <v>408563.82</v>
          </cell>
          <cell r="I78">
            <v>522865</v>
          </cell>
          <cell r="J78">
            <v>35238.03</v>
          </cell>
          <cell r="K78">
            <v>77759.13</v>
          </cell>
          <cell r="L78">
            <v>121337.01999999999</v>
          </cell>
          <cell r="M78">
            <v>155363.25999999998</v>
          </cell>
          <cell r="N78">
            <v>190126.46999999997</v>
          </cell>
          <cell r="O78">
            <v>225846.61</v>
          </cell>
          <cell r="P78">
            <v>259446.50000000006</v>
          </cell>
          <cell r="Q78">
            <v>295851.71000000002</v>
          </cell>
          <cell r="R78">
            <v>331139.33000000007</v>
          </cell>
          <cell r="S78">
            <v>370007.95000000007</v>
          </cell>
        </row>
        <row r="79">
          <cell r="A79" t="str">
            <v>412.00</v>
          </cell>
          <cell r="B79">
            <v>74</v>
          </cell>
          <cell r="C79">
            <v>0</v>
          </cell>
          <cell r="D79" t="str">
            <v>Aufwandsentschädigungen Studierendenvertretung</v>
          </cell>
          <cell r="E79">
            <v>70250</v>
          </cell>
          <cell r="F79">
            <v>45805</v>
          </cell>
          <cell r="G79">
            <v>83690</v>
          </cell>
          <cell r="H79">
            <v>41663</v>
          </cell>
          <cell r="I79">
            <v>92400</v>
          </cell>
          <cell r="J79">
            <v>4185</v>
          </cell>
          <cell r="K79">
            <v>7225</v>
          </cell>
          <cell r="L79">
            <v>11990</v>
          </cell>
          <cell r="M79">
            <v>15715</v>
          </cell>
          <cell r="N79">
            <v>19270</v>
          </cell>
          <cell r="O79">
            <v>24290</v>
          </cell>
          <cell r="P79">
            <v>27530</v>
          </cell>
          <cell r="Q79">
            <v>32455</v>
          </cell>
          <cell r="R79">
            <v>36055</v>
          </cell>
          <cell r="S79">
            <v>42530</v>
          </cell>
        </row>
        <row r="80">
          <cell r="A80" t="str">
            <v>412.10</v>
          </cell>
          <cell r="B80">
            <v>75</v>
          </cell>
          <cell r="C80" t="str">
            <v>412.20 (x0,4), 412.50 (x0,6)</v>
          </cell>
          <cell r="D80" t="str">
            <v>Fest-AE SP-Vorsitz, HHA-Vorsitz, AG-Sprecher (§ 43 d. Satzung)</v>
          </cell>
          <cell r="E80">
            <v>17400</v>
          </cell>
          <cell r="F80">
            <v>11920</v>
          </cell>
          <cell r="G80">
            <v>17440</v>
          </cell>
          <cell r="H80">
            <v>10128</v>
          </cell>
          <cell r="I80">
            <v>17000</v>
          </cell>
          <cell r="J80">
            <v>880</v>
          </cell>
          <cell r="K80">
            <v>1760</v>
          </cell>
          <cell r="L80">
            <v>2640</v>
          </cell>
          <cell r="M80">
            <v>3520</v>
          </cell>
          <cell r="N80">
            <v>4400</v>
          </cell>
          <cell r="O80">
            <v>5280</v>
          </cell>
          <cell r="P80">
            <v>5920</v>
          </cell>
          <cell r="Q80">
            <v>6560</v>
          </cell>
          <cell r="R80">
            <v>7200</v>
          </cell>
          <cell r="S80">
            <v>7840</v>
          </cell>
        </row>
        <row r="81">
          <cell r="A81" t="str">
            <v>412.20</v>
          </cell>
          <cell r="B81">
            <v>76</v>
          </cell>
          <cell r="C81" t="str">
            <v>412.20 (x0,6), 412.50 (x0,4)</v>
          </cell>
          <cell r="D81" t="str">
            <v>Variable AE Stupa, Ausschüsse, Arbeitsgruppen (§ 44 d. Satzung)</v>
          </cell>
          <cell r="E81">
            <v>26110</v>
          </cell>
          <cell r="F81">
            <v>14025</v>
          </cell>
          <cell r="G81">
            <v>39250</v>
          </cell>
          <cell r="H81">
            <v>13665</v>
          </cell>
          <cell r="I81">
            <v>35000</v>
          </cell>
          <cell r="J81">
            <v>1895</v>
          </cell>
          <cell r="K81">
            <v>2875</v>
          </cell>
          <cell r="L81">
            <v>4400</v>
          </cell>
          <cell r="M81">
            <v>5205</v>
          </cell>
          <cell r="N81">
            <v>6060</v>
          </cell>
          <cell r="O81">
            <v>7330</v>
          </cell>
          <cell r="P81">
            <v>8680</v>
          </cell>
          <cell r="Q81">
            <v>9975</v>
          </cell>
          <cell r="R81">
            <v>10910</v>
          </cell>
          <cell r="S81">
            <v>12255</v>
          </cell>
        </row>
        <row r="82">
          <cell r="A82" t="str">
            <v>412.30</v>
          </cell>
          <cell r="B82">
            <v>77</v>
          </cell>
          <cell r="C82" t="str">
            <v>412.30</v>
          </cell>
          <cell r="D82" t="str">
            <v>Fernuni-Gremien (§ 44 d. Satzung)</v>
          </cell>
          <cell r="E82">
            <v>25000</v>
          </cell>
          <cell r="F82">
            <v>19640</v>
          </cell>
          <cell r="G82">
            <v>25000</v>
          </cell>
          <cell r="H82">
            <v>17870</v>
          </cell>
          <cell r="I82">
            <v>25000</v>
          </cell>
          <cell r="J82">
            <v>1410</v>
          </cell>
          <cell r="K82">
            <v>2590</v>
          </cell>
          <cell r="L82">
            <v>4660</v>
          </cell>
          <cell r="M82">
            <v>6700</v>
          </cell>
          <cell r="N82">
            <v>8520</v>
          </cell>
          <cell r="O82">
            <v>11390</v>
          </cell>
          <cell r="P82">
            <v>12640</v>
          </cell>
          <cell r="Q82">
            <v>15590</v>
          </cell>
          <cell r="R82">
            <v>17510</v>
          </cell>
          <cell r="S82">
            <v>21660</v>
          </cell>
        </row>
        <row r="83">
          <cell r="A83" t="str">
            <v>412.40</v>
          </cell>
          <cell r="B83">
            <v>78</v>
          </cell>
          <cell r="C83" t="str">
            <v>n.a.</v>
          </cell>
          <cell r="D83" t="str">
            <v>AStA-Beauftragungen</v>
          </cell>
          <cell r="E83">
            <v>0</v>
          </cell>
          <cell r="F83">
            <v>0</v>
          </cell>
          <cell r="G83">
            <v>0</v>
          </cell>
          <cell r="H83">
            <v>0</v>
          </cell>
          <cell r="I83">
            <v>14400</v>
          </cell>
          <cell r="J83">
            <v>0</v>
          </cell>
          <cell r="K83">
            <v>0</v>
          </cell>
          <cell r="L83">
            <v>0</v>
          </cell>
          <cell r="M83">
            <v>0</v>
          </cell>
          <cell r="N83">
            <v>0</v>
          </cell>
          <cell r="O83">
            <v>0</v>
          </cell>
          <cell r="P83">
            <v>0</v>
          </cell>
          <cell r="Q83">
            <v>0</v>
          </cell>
          <cell r="R83">
            <v>0</v>
          </cell>
          <cell r="S83">
            <v>0</v>
          </cell>
        </row>
        <row r="84">
          <cell r="A84" t="str">
            <v>412.50</v>
          </cell>
          <cell r="B84">
            <v>79</v>
          </cell>
          <cell r="C84" t="str">
            <v>412.40, 412.60, 536.10, 538.10, 550.10, 686.11</v>
          </cell>
          <cell r="D84" t="str">
            <v>AStA-Veranstaltungen, Gäste, Sonstige (§ 44. d. Satzung)</v>
          </cell>
          <cell r="E84">
            <v>1750</v>
          </cell>
          <cell r="F84">
            <v>220</v>
          </cell>
          <cell r="G84">
            <v>2000</v>
          </cell>
          <cell r="H84">
            <v>272</v>
          </cell>
          <cell r="I84">
            <v>1000</v>
          </cell>
          <cell r="J84">
            <v>240</v>
          </cell>
          <cell r="K84">
            <v>240</v>
          </cell>
          <cell r="L84">
            <v>290</v>
          </cell>
          <cell r="M84">
            <v>290</v>
          </cell>
          <cell r="N84">
            <v>290</v>
          </cell>
          <cell r="O84">
            <v>290</v>
          </cell>
          <cell r="P84">
            <v>290</v>
          </cell>
          <cell r="Q84">
            <v>330</v>
          </cell>
          <cell r="R84">
            <v>435</v>
          </cell>
          <cell r="S84">
            <v>775</v>
          </cell>
        </row>
        <row r="85">
          <cell r="B85">
            <v>80</v>
          </cell>
          <cell r="H85">
            <v>0</v>
          </cell>
          <cell r="J85">
            <v>0</v>
          </cell>
          <cell r="K85">
            <v>0</v>
          </cell>
          <cell r="L85">
            <v>0</v>
          </cell>
          <cell r="M85">
            <v>0</v>
          </cell>
          <cell r="N85">
            <v>0</v>
          </cell>
          <cell r="O85">
            <v>0</v>
          </cell>
          <cell r="P85">
            <v>0</v>
          </cell>
          <cell r="Q85">
            <v>0</v>
          </cell>
          <cell r="R85">
            <v>0</v>
          </cell>
          <cell r="S85">
            <v>0</v>
          </cell>
        </row>
        <row r="86">
          <cell r="A86" t="str">
            <v>413.00</v>
          </cell>
          <cell r="B86">
            <v>81</v>
          </cell>
          <cell r="C86">
            <v>0</v>
          </cell>
          <cell r="D86" t="str">
            <v>Aufwandsentschädigungen Fachschaften</v>
          </cell>
          <cell r="E86">
            <v>71500</v>
          </cell>
          <cell r="F86">
            <v>57708.33</v>
          </cell>
          <cell r="G86">
            <v>74670</v>
          </cell>
          <cell r="H86">
            <v>56685</v>
          </cell>
          <cell r="I86">
            <v>74070</v>
          </cell>
          <cell r="J86">
            <v>5235</v>
          </cell>
          <cell r="K86">
            <v>9410</v>
          </cell>
          <cell r="L86">
            <v>14205.5</v>
          </cell>
          <cell r="M86">
            <v>18560.5</v>
          </cell>
          <cell r="N86">
            <v>23540.5</v>
          </cell>
          <cell r="O86">
            <v>27900.5</v>
          </cell>
          <cell r="P86">
            <v>31965.5</v>
          </cell>
          <cell r="Q86">
            <v>36320.5</v>
          </cell>
          <cell r="R86">
            <v>41590.5</v>
          </cell>
          <cell r="S86">
            <v>47680.5</v>
          </cell>
        </row>
        <row r="87">
          <cell r="A87" t="str">
            <v>413.10</v>
          </cell>
          <cell r="B87">
            <v>82</v>
          </cell>
          <cell r="C87" t="str">
            <v>686.31 (x0,52), 686.41 (x0,87), 686.51 (x0,8), 686.61 (x0,33), 686.71 (x0,26)</v>
          </cell>
          <cell r="D87" t="str">
            <v>Fest-AE Fachschaften (Fester Wert, 5*800*12) (§ 43 d. Satzung)</v>
          </cell>
          <cell r="E87">
            <v>48000</v>
          </cell>
          <cell r="F87">
            <v>44193.33</v>
          </cell>
          <cell r="G87">
            <v>48000</v>
          </cell>
          <cell r="H87">
            <v>46930</v>
          </cell>
          <cell r="I87">
            <v>48000</v>
          </cell>
          <cell r="J87">
            <v>4090</v>
          </cell>
          <cell r="K87">
            <v>7905</v>
          </cell>
          <cell r="L87">
            <v>11720</v>
          </cell>
          <cell r="M87">
            <v>15535</v>
          </cell>
          <cell r="N87">
            <v>19350</v>
          </cell>
          <cell r="O87">
            <v>23165</v>
          </cell>
          <cell r="P87">
            <v>26980</v>
          </cell>
          <cell r="Q87">
            <v>30795</v>
          </cell>
          <cell r="R87">
            <v>34610</v>
          </cell>
          <cell r="S87">
            <v>38425</v>
          </cell>
        </row>
        <row r="88">
          <cell r="A88" t="str">
            <v>413.20</v>
          </cell>
          <cell r="B88">
            <v>83</v>
          </cell>
          <cell r="C88">
            <v>0</v>
          </cell>
          <cell r="D88" t="str">
            <v>Variable AE Fachschaften (§ 44 d. Satzung)</v>
          </cell>
          <cell r="E88">
            <v>22000</v>
          </cell>
          <cell r="F88">
            <v>12720</v>
          </cell>
          <cell r="G88">
            <v>25670</v>
          </cell>
          <cell r="H88">
            <v>9365</v>
          </cell>
          <cell r="I88">
            <v>25070</v>
          </cell>
          <cell r="J88">
            <v>0</v>
          </cell>
          <cell r="K88">
            <v>0</v>
          </cell>
          <cell r="L88">
            <v>0</v>
          </cell>
          <cell r="M88">
            <v>0</v>
          </cell>
          <cell r="N88">
            <v>0</v>
          </cell>
          <cell r="O88">
            <v>0</v>
          </cell>
          <cell r="P88">
            <v>0</v>
          </cell>
          <cell r="Q88">
            <v>0</v>
          </cell>
          <cell r="R88">
            <v>0</v>
          </cell>
          <cell r="S88">
            <v>0</v>
          </cell>
        </row>
        <row r="89">
          <cell r="A89" t="str">
            <v>413.21</v>
          </cell>
          <cell r="B89">
            <v>84</v>
          </cell>
          <cell r="C89" t="str">
            <v>686.31 (x0,48)</v>
          </cell>
          <cell r="D89" t="str">
            <v>Variable AE FSR WiWi</v>
          </cell>
          <cell r="E89">
            <v>10400</v>
          </cell>
          <cell r="F89">
            <v>5830</v>
          </cell>
          <cell r="G89">
            <v>8600</v>
          </cell>
          <cell r="H89">
            <v>3695</v>
          </cell>
          <cell r="I89">
            <v>8600</v>
          </cell>
          <cell r="J89">
            <v>560</v>
          </cell>
          <cell r="K89">
            <v>740</v>
          </cell>
          <cell r="L89">
            <v>1465.5</v>
          </cell>
          <cell r="M89">
            <v>1725.5</v>
          </cell>
          <cell r="N89">
            <v>2085.5</v>
          </cell>
          <cell r="O89">
            <v>2510.5</v>
          </cell>
          <cell r="P89">
            <v>2510.5</v>
          </cell>
          <cell r="Q89">
            <v>2920.5</v>
          </cell>
          <cell r="R89">
            <v>4040.5</v>
          </cell>
          <cell r="S89">
            <v>5365.5</v>
          </cell>
        </row>
        <row r="90">
          <cell r="A90" t="str">
            <v>413.22</v>
          </cell>
          <cell r="B90">
            <v>85</v>
          </cell>
          <cell r="C90" t="str">
            <v>686.41 (x0,13)</v>
          </cell>
          <cell r="D90" t="str">
            <v>Variable AE FSR KSW</v>
          </cell>
          <cell r="E90">
            <v>1400</v>
          </cell>
          <cell r="F90">
            <v>1160</v>
          </cell>
          <cell r="G90">
            <v>5270</v>
          </cell>
          <cell r="H90">
            <v>560</v>
          </cell>
          <cell r="I90">
            <v>5270</v>
          </cell>
          <cell r="J90">
            <v>0</v>
          </cell>
          <cell r="K90">
            <v>0</v>
          </cell>
          <cell r="L90">
            <v>0</v>
          </cell>
          <cell r="M90">
            <v>20</v>
          </cell>
          <cell r="N90">
            <v>20</v>
          </cell>
          <cell r="O90">
            <v>120</v>
          </cell>
          <cell r="P90">
            <v>120</v>
          </cell>
          <cell r="Q90">
            <v>120</v>
          </cell>
          <cell r="R90">
            <v>140</v>
          </cell>
          <cell r="S90">
            <v>140</v>
          </cell>
        </row>
        <row r="91">
          <cell r="A91" t="str">
            <v>413.23</v>
          </cell>
          <cell r="B91">
            <v>86</v>
          </cell>
          <cell r="C91" t="str">
            <v>686.51 (x0,2)</v>
          </cell>
          <cell r="D91" t="str">
            <v>Variable AE FSR PSY</v>
          </cell>
          <cell r="E91">
            <v>2400</v>
          </cell>
          <cell r="F91">
            <v>3110</v>
          </cell>
          <cell r="G91">
            <v>4500</v>
          </cell>
          <cell r="H91">
            <v>2435</v>
          </cell>
          <cell r="I91">
            <v>4400</v>
          </cell>
          <cell r="J91">
            <v>0</v>
          </cell>
          <cell r="K91">
            <v>0</v>
          </cell>
          <cell r="L91">
            <v>0</v>
          </cell>
          <cell r="M91">
            <v>0</v>
          </cell>
          <cell r="N91">
            <v>30</v>
          </cell>
          <cell r="O91">
            <v>30</v>
          </cell>
          <cell r="P91">
            <v>115</v>
          </cell>
          <cell r="Q91">
            <v>180</v>
          </cell>
          <cell r="R91">
            <v>180</v>
          </cell>
          <cell r="S91">
            <v>180</v>
          </cell>
        </row>
        <row r="92">
          <cell r="A92" t="str">
            <v>413.24</v>
          </cell>
          <cell r="B92">
            <v>87</v>
          </cell>
          <cell r="C92" t="str">
            <v>686.61 (x0,67)</v>
          </cell>
          <cell r="D92" t="str">
            <v>Variable AE FSR ReWi</v>
          </cell>
          <cell r="E92">
            <v>4400</v>
          </cell>
          <cell r="F92">
            <v>2350</v>
          </cell>
          <cell r="G92">
            <v>5000</v>
          </cell>
          <cell r="H92">
            <v>2435</v>
          </cell>
          <cell r="I92">
            <v>4400</v>
          </cell>
          <cell r="J92">
            <v>585</v>
          </cell>
          <cell r="K92">
            <v>605</v>
          </cell>
          <cell r="L92">
            <v>860</v>
          </cell>
          <cell r="M92">
            <v>1120</v>
          </cell>
          <cell r="N92">
            <v>1505</v>
          </cell>
          <cell r="O92">
            <v>1525</v>
          </cell>
          <cell r="P92">
            <v>1690</v>
          </cell>
          <cell r="Q92">
            <v>1755</v>
          </cell>
          <cell r="R92">
            <v>1755</v>
          </cell>
          <cell r="S92">
            <v>1860</v>
          </cell>
        </row>
        <row r="93">
          <cell r="A93" t="str">
            <v>413.25</v>
          </cell>
          <cell r="B93">
            <v>88</v>
          </cell>
          <cell r="C93" t="str">
            <v>686.71 (x0,74)</v>
          </cell>
          <cell r="D93" t="str">
            <v>Variable AE FSR M+I</v>
          </cell>
          <cell r="E93">
            <v>3400</v>
          </cell>
          <cell r="F93">
            <v>270</v>
          </cell>
          <cell r="G93">
            <v>2300</v>
          </cell>
          <cell r="H93">
            <v>240</v>
          </cell>
          <cell r="I93">
            <v>2400</v>
          </cell>
          <cell r="J93">
            <v>0</v>
          </cell>
          <cell r="K93">
            <v>160</v>
          </cell>
          <cell r="L93">
            <v>160</v>
          </cell>
          <cell r="M93">
            <v>160</v>
          </cell>
          <cell r="N93">
            <v>160</v>
          </cell>
          <cell r="O93">
            <v>160</v>
          </cell>
          <cell r="P93">
            <v>160</v>
          </cell>
          <cell r="Q93">
            <v>160</v>
          </cell>
          <cell r="R93">
            <v>265</v>
          </cell>
          <cell r="S93">
            <v>1005</v>
          </cell>
        </row>
        <row r="94">
          <cell r="A94" t="str">
            <v>413.30</v>
          </cell>
          <cell r="B94">
            <v>89</v>
          </cell>
          <cell r="C94" t="str">
            <v>686.21</v>
          </cell>
          <cell r="D94" t="str">
            <v>FSRK</v>
          </cell>
          <cell r="E94">
            <v>1500</v>
          </cell>
          <cell r="F94">
            <v>795</v>
          </cell>
          <cell r="G94">
            <v>1000</v>
          </cell>
          <cell r="H94">
            <v>390</v>
          </cell>
          <cell r="I94">
            <v>1000</v>
          </cell>
          <cell r="J94">
            <v>0</v>
          </cell>
          <cell r="K94">
            <v>0</v>
          </cell>
          <cell r="L94">
            <v>0</v>
          </cell>
          <cell r="M94">
            <v>0</v>
          </cell>
          <cell r="N94">
            <v>390</v>
          </cell>
          <cell r="O94">
            <v>390</v>
          </cell>
          <cell r="P94">
            <v>390</v>
          </cell>
          <cell r="Q94">
            <v>390</v>
          </cell>
          <cell r="R94">
            <v>600</v>
          </cell>
          <cell r="S94">
            <v>705</v>
          </cell>
        </row>
        <row r="95">
          <cell r="B95">
            <v>90</v>
          </cell>
          <cell r="H95">
            <v>0</v>
          </cell>
          <cell r="J95">
            <v>0</v>
          </cell>
          <cell r="K95">
            <v>0</v>
          </cell>
          <cell r="L95">
            <v>0</v>
          </cell>
          <cell r="M95">
            <v>0</v>
          </cell>
          <cell r="N95">
            <v>0</v>
          </cell>
          <cell r="O95">
            <v>0</v>
          </cell>
          <cell r="P95">
            <v>0</v>
          </cell>
          <cell r="Q95">
            <v>0</v>
          </cell>
          <cell r="R95">
            <v>0</v>
          </cell>
          <cell r="S95">
            <v>0</v>
          </cell>
        </row>
        <row r="96">
          <cell r="A96" t="str">
            <v>425.00</v>
          </cell>
          <cell r="B96">
            <v>91</v>
          </cell>
          <cell r="C96">
            <v>0</v>
          </cell>
          <cell r="D96" t="str">
            <v>Beschäftigungen AStA</v>
          </cell>
          <cell r="E96">
            <v>107185</v>
          </cell>
          <cell r="F96">
            <v>116485.4</v>
          </cell>
          <cell r="G96">
            <v>115200</v>
          </cell>
          <cell r="H96">
            <v>112954.2</v>
          </cell>
          <cell r="I96">
            <v>115200</v>
          </cell>
          <cell r="J96">
            <v>8898.9599999999991</v>
          </cell>
          <cell r="K96">
            <v>17797.919999999998</v>
          </cell>
          <cell r="L96">
            <v>26696.880000000001</v>
          </cell>
          <cell r="M96">
            <v>35595.839999999997</v>
          </cell>
          <cell r="N96">
            <v>44494.8</v>
          </cell>
          <cell r="O96">
            <v>53393.760000000002</v>
          </cell>
          <cell r="P96">
            <v>62292.72</v>
          </cell>
          <cell r="Q96">
            <v>71420.299999999988</v>
          </cell>
          <cell r="R96">
            <v>80319.259999999995</v>
          </cell>
          <cell r="S96">
            <v>89218.22</v>
          </cell>
        </row>
        <row r="97">
          <cell r="A97" t="str">
            <v>425.10</v>
          </cell>
          <cell r="B97">
            <v>92</v>
          </cell>
          <cell r="C97" t="str">
            <v>425.11</v>
          </cell>
          <cell r="D97" t="str">
            <v>Referate</v>
          </cell>
          <cell r="E97">
            <v>63000</v>
          </cell>
          <cell r="F97">
            <v>68187</v>
          </cell>
          <cell r="G97">
            <v>70000</v>
          </cell>
          <cell r="H97">
            <v>66757.8</v>
          </cell>
          <cell r="I97">
            <v>70000</v>
          </cell>
          <cell r="J97">
            <v>5270.4</v>
          </cell>
          <cell r="K97">
            <v>10540.8</v>
          </cell>
          <cell r="L97">
            <v>15811.2</v>
          </cell>
          <cell r="M97">
            <v>21081.599999999999</v>
          </cell>
          <cell r="N97">
            <v>26352</v>
          </cell>
          <cell r="O97">
            <v>31622.400000000001</v>
          </cell>
          <cell r="P97">
            <v>36892.800000000003</v>
          </cell>
          <cell r="Q97">
            <v>42163.199999999997</v>
          </cell>
          <cell r="R97">
            <v>47433.599999999999</v>
          </cell>
          <cell r="S97">
            <v>52704</v>
          </cell>
        </row>
        <row r="98">
          <cell r="A98" t="str">
            <v>425.20</v>
          </cell>
          <cell r="B98">
            <v>93</v>
          </cell>
          <cell r="C98" t="str">
            <v>425.12</v>
          </cell>
          <cell r="D98" t="str">
            <v>Bundesknappschaft</v>
          </cell>
          <cell r="E98">
            <v>19000</v>
          </cell>
          <cell r="F98">
            <v>21331.89</v>
          </cell>
          <cell r="G98">
            <v>18000</v>
          </cell>
          <cell r="H98">
            <v>19458.599999999999</v>
          </cell>
          <cell r="I98">
            <v>18000</v>
          </cell>
          <cell r="J98">
            <v>1528.56</v>
          </cell>
          <cell r="K98">
            <v>3057.12</v>
          </cell>
          <cell r="L98">
            <v>4585.68</v>
          </cell>
          <cell r="M98">
            <v>6114.24</v>
          </cell>
          <cell r="N98">
            <v>7642.8</v>
          </cell>
          <cell r="O98">
            <v>9171.36</v>
          </cell>
          <cell r="P98">
            <v>10699.92</v>
          </cell>
          <cell r="Q98">
            <v>12228.48</v>
          </cell>
          <cell r="R98">
            <v>13757.04</v>
          </cell>
          <cell r="S98">
            <v>15285.6</v>
          </cell>
        </row>
        <row r="99">
          <cell r="A99" t="str">
            <v>425.30</v>
          </cell>
          <cell r="B99">
            <v>94</v>
          </cell>
          <cell r="C99" t="str">
            <v>412.10</v>
          </cell>
          <cell r="D99" t="str">
            <v>Sachkostenpauschale</v>
          </cell>
          <cell r="E99">
            <v>25000</v>
          </cell>
          <cell r="F99">
            <v>26775</v>
          </cell>
          <cell r="G99">
            <v>27000</v>
          </cell>
          <cell r="H99">
            <v>26512.5</v>
          </cell>
          <cell r="I99">
            <v>27000</v>
          </cell>
          <cell r="J99">
            <v>2100</v>
          </cell>
          <cell r="K99">
            <v>4200</v>
          </cell>
          <cell r="L99">
            <v>6300</v>
          </cell>
          <cell r="M99">
            <v>8400</v>
          </cell>
          <cell r="N99">
            <v>10500</v>
          </cell>
          <cell r="O99">
            <v>12600</v>
          </cell>
          <cell r="P99">
            <v>14700</v>
          </cell>
          <cell r="Q99">
            <v>16800</v>
          </cell>
          <cell r="R99">
            <v>18900</v>
          </cell>
          <cell r="S99">
            <v>21000</v>
          </cell>
        </row>
        <row r="100">
          <cell r="A100" t="str">
            <v>425.40</v>
          </cell>
          <cell r="B100">
            <v>95</v>
          </cell>
          <cell r="C100" t="str">
            <v>425.14</v>
          </cell>
          <cell r="D100" t="str">
            <v>VBG Unfallversicherung AStA</v>
          </cell>
          <cell r="E100">
            <v>185</v>
          </cell>
          <cell r="F100">
            <v>191.51</v>
          </cell>
          <cell r="G100">
            <v>200</v>
          </cell>
          <cell r="H100">
            <v>225.3</v>
          </cell>
          <cell r="I100">
            <v>200</v>
          </cell>
          <cell r="J100">
            <v>0</v>
          </cell>
          <cell r="K100">
            <v>0</v>
          </cell>
          <cell r="L100">
            <v>0</v>
          </cell>
          <cell r="M100">
            <v>0</v>
          </cell>
          <cell r="N100">
            <v>0</v>
          </cell>
          <cell r="O100">
            <v>0</v>
          </cell>
          <cell r="P100">
            <v>0</v>
          </cell>
          <cell r="Q100">
            <v>228.62</v>
          </cell>
          <cell r="R100">
            <v>228.62</v>
          </cell>
          <cell r="S100">
            <v>228.62</v>
          </cell>
        </row>
        <row r="101">
          <cell r="B101">
            <v>96</v>
          </cell>
          <cell r="H101">
            <v>0</v>
          </cell>
          <cell r="J101">
            <v>0</v>
          </cell>
          <cell r="K101">
            <v>0</v>
          </cell>
          <cell r="L101">
            <v>0</v>
          </cell>
          <cell r="M101">
            <v>0</v>
          </cell>
          <cell r="N101">
            <v>0</v>
          </cell>
          <cell r="O101">
            <v>0</v>
          </cell>
          <cell r="P101">
            <v>0</v>
          </cell>
          <cell r="Q101">
            <v>0</v>
          </cell>
          <cell r="R101">
            <v>0</v>
          </cell>
          <cell r="S101">
            <v>0</v>
          </cell>
        </row>
        <row r="102">
          <cell r="A102" t="str">
            <v>428.00</v>
          </cell>
          <cell r="B102">
            <v>97</v>
          </cell>
          <cell r="C102">
            <v>0</v>
          </cell>
          <cell r="D102" t="str">
            <v>Personalausgaben Angestellte</v>
          </cell>
          <cell r="E102">
            <v>206500</v>
          </cell>
          <cell r="F102">
            <v>187240.54</v>
          </cell>
          <cell r="G102">
            <v>220495</v>
          </cell>
          <cell r="H102">
            <v>196285.44000000003</v>
          </cell>
          <cell r="I102">
            <v>236495</v>
          </cell>
          <cell r="J102">
            <v>16679.07</v>
          </cell>
          <cell r="K102">
            <v>42891.21</v>
          </cell>
          <cell r="L102">
            <v>68249.64</v>
          </cell>
          <cell r="M102">
            <v>85296.92</v>
          </cell>
          <cell r="N102">
            <v>102626.17</v>
          </cell>
          <cell r="O102">
            <v>120025.15000000001</v>
          </cell>
          <cell r="P102">
            <v>137421.07999999999</v>
          </cell>
          <cell r="Q102">
            <v>155418.71</v>
          </cell>
          <cell r="R102">
            <v>172823.37</v>
          </cell>
          <cell r="S102">
            <v>190228.03</v>
          </cell>
        </row>
        <row r="103">
          <cell r="A103" t="str">
            <v>428.10</v>
          </cell>
          <cell r="B103">
            <v>98</v>
          </cell>
          <cell r="C103" t="str">
            <v>425.21, 427.10</v>
          </cell>
          <cell r="D103" t="str">
            <v>Gehälter Beschäftigte</v>
          </cell>
          <cell r="E103">
            <v>92500</v>
          </cell>
          <cell r="F103">
            <v>90530.79</v>
          </cell>
          <cell r="G103">
            <v>102000</v>
          </cell>
          <cell r="H103">
            <v>93878.16</v>
          </cell>
          <cell r="I103">
            <v>118000</v>
          </cell>
          <cell r="J103">
            <v>7797.45</v>
          </cell>
          <cell r="K103">
            <v>20215.66</v>
          </cell>
          <cell r="L103">
            <v>33809.89</v>
          </cell>
          <cell r="M103">
            <v>42071.56</v>
          </cell>
          <cell r="N103">
            <v>50474.44</v>
          </cell>
          <cell r="O103">
            <v>58877.72</v>
          </cell>
          <cell r="P103">
            <v>67265.789999999994</v>
          </cell>
          <cell r="Q103">
            <v>75662.27</v>
          </cell>
          <cell r="R103">
            <v>84058.75</v>
          </cell>
          <cell r="S103">
            <v>92455.23</v>
          </cell>
        </row>
        <row r="104">
          <cell r="A104" t="str">
            <v>428.20</v>
          </cell>
          <cell r="B104">
            <v>99</v>
          </cell>
          <cell r="C104" t="str">
            <v>425.22</v>
          </cell>
          <cell r="D104" t="str">
            <v>Steuern</v>
          </cell>
          <cell r="E104">
            <v>26000</v>
          </cell>
          <cell r="F104">
            <v>20905.61</v>
          </cell>
          <cell r="G104">
            <v>28000</v>
          </cell>
          <cell r="H104">
            <v>25672.59</v>
          </cell>
          <cell r="I104">
            <v>26000</v>
          </cell>
          <cell r="J104">
            <v>2306.89</v>
          </cell>
          <cell r="K104">
            <v>4613.78</v>
          </cell>
          <cell r="L104">
            <v>9803.25</v>
          </cell>
          <cell r="M104">
            <v>12031.11</v>
          </cell>
          <cell r="N104">
            <v>14258.9</v>
          </cell>
          <cell r="O104">
            <v>16556.02</v>
          </cell>
          <cell r="P104">
            <v>18853.14</v>
          </cell>
          <cell r="Q104">
            <v>21158.59</v>
          </cell>
          <cell r="R104">
            <v>23456.03</v>
          </cell>
          <cell r="S104">
            <v>25753.47</v>
          </cell>
        </row>
        <row r="105">
          <cell r="A105" t="str">
            <v>428.30</v>
          </cell>
          <cell r="B105">
            <v>100</v>
          </cell>
          <cell r="C105" t="str">
            <v>425.23, 427.20</v>
          </cell>
          <cell r="D105" t="str">
            <v>AG-Anteil Sozialversicherung</v>
          </cell>
          <cell r="E105">
            <v>73000</v>
          </cell>
          <cell r="F105">
            <v>63085.8</v>
          </cell>
          <cell r="G105">
            <v>75000</v>
          </cell>
          <cell r="H105">
            <v>64594.26</v>
          </cell>
          <cell r="I105">
            <v>77000</v>
          </cell>
          <cell r="J105">
            <v>5619.09</v>
          </cell>
          <cell r="K105">
            <v>15439.97</v>
          </cell>
          <cell r="L105">
            <v>21059.06</v>
          </cell>
          <cell r="M105">
            <v>26661.17</v>
          </cell>
          <cell r="N105">
            <v>32383.96</v>
          </cell>
          <cell r="O105">
            <v>38106.75</v>
          </cell>
          <cell r="P105">
            <v>43841.7</v>
          </cell>
          <cell r="Q105">
            <v>49576.65</v>
          </cell>
          <cell r="R105">
            <v>55311.6</v>
          </cell>
          <cell r="S105">
            <v>61046.55</v>
          </cell>
        </row>
        <row r="106">
          <cell r="A106" t="str">
            <v>428.40</v>
          </cell>
          <cell r="B106">
            <v>101</v>
          </cell>
          <cell r="C106" t="str">
            <v>425.24</v>
          </cell>
          <cell r="D106" t="str">
            <v>Betriebsrenten</v>
          </cell>
          <cell r="E106">
            <v>14500</v>
          </cell>
          <cell r="F106">
            <v>12261.25</v>
          </cell>
          <cell r="G106">
            <v>15000</v>
          </cell>
          <cell r="H106">
            <v>11668.73</v>
          </cell>
          <cell r="I106">
            <v>15000</v>
          </cell>
          <cell r="J106">
            <v>955.64</v>
          </cell>
          <cell r="K106">
            <v>2621.8</v>
          </cell>
          <cell r="L106">
            <v>3577.44</v>
          </cell>
          <cell r="M106">
            <v>4533.08</v>
          </cell>
          <cell r="N106">
            <v>5508.87</v>
          </cell>
          <cell r="O106">
            <v>6484.66</v>
          </cell>
          <cell r="P106">
            <v>7460.45</v>
          </cell>
          <cell r="Q106">
            <v>8436.24</v>
          </cell>
          <cell r="R106">
            <v>9412.0300000000007</v>
          </cell>
          <cell r="S106">
            <v>10387.82</v>
          </cell>
        </row>
        <row r="107">
          <cell r="A107" t="str">
            <v>428.50</v>
          </cell>
          <cell r="B107">
            <v>102</v>
          </cell>
          <cell r="C107" t="str">
            <v>425.26</v>
          </cell>
          <cell r="D107" t="str">
            <v>VBG Unfallversicherung Büro</v>
          </cell>
          <cell r="E107">
            <v>500</v>
          </cell>
          <cell r="F107">
            <v>457.09</v>
          </cell>
          <cell r="G107">
            <v>495</v>
          </cell>
          <cell r="H107">
            <v>471.7</v>
          </cell>
          <cell r="I107">
            <v>495</v>
          </cell>
          <cell r="J107">
            <v>0</v>
          </cell>
          <cell r="K107">
            <v>0</v>
          </cell>
          <cell r="L107">
            <v>0</v>
          </cell>
          <cell r="M107">
            <v>0</v>
          </cell>
          <cell r="N107">
            <v>0</v>
          </cell>
          <cell r="O107">
            <v>0</v>
          </cell>
          <cell r="P107">
            <v>0</v>
          </cell>
          <cell r="Q107">
            <v>584.96</v>
          </cell>
          <cell r="R107">
            <v>584.96</v>
          </cell>
          <cell r="S107">
            <v>584.96</v>
          </cell>
        </row>
        <row r="108">
          <cell r="B108">
            <v>103</v>
          </cell>
          <cell r="H108">
            <v>0</v>
          </cell>
          <cell r="J108">
            <v>0</v>
          </cell>
          <cell r="K108">
            <v>0</v>
          </cell>
          <cell r="L108">
            <v>0</v>
          </cell>
          <cell r="M108">
            <v>0</v>
          </cell>
          <cell r="N108">
            <v>0</v>
          </cell>
          <cell r="O108">
            <v>0</v>
          </cell>
          <cell r="P108">
            <v>0</v>
          </cell>
          <cell r="Q108">
            <v>0</v>
          </cell>
          <cell r="R108">
            <v>0</v>
          </cell>
          <cell r="S108">
            <v>0</v>
          </cell>
        </row>
        <row r="109">
          <cell r="A109" t="str">
            <v>430.00</v>
          </cell>
          <cell r="B109">
            <v>104</v>
          </cell>
          <cell r="C109">
            <v>0</v>
          </cell>
          <cell r="D109" t="str">
            <v>Weiterbildung und Sonstige Kosten</v>
          </cell>
          <cell r="E109">
            <v>4800</v>
          </cell>
          <cell r="F109">
            <v>199</v>
          </cell>
          <cell r="G109">
            <v>4700</v>
          </cell>
          <cell r="H109">
            <v>704.18</v>
          </cell>
          <cell r="I109">
            <v>4700</v>
          </cell>
          <cell r="J109">
            <v>0</v>
          </cell>
          <cell r="K109">
            <v>195</v>
          </cell>
          <cell r="L109">
            <v>195</v>
          </cell>
          <cell r="M109">
            <v>195</v>
          </cell>
          <cell r="N109">
            <v>195</v>
          </cell>
          <cell r="O109">
            <v>237.2</v>
          </cell>
          <cell r="P109">
            <v>237.2</v>
          </cell>
          <cell r="Q109">
            <v>237.2</v>
          </cell>
          <cell r="R109">
            <v>351.2</v>
          </cell>
          <cell r="S109">
            <v>351.2</v>
          </cell>
        </row>
        <row r="110">
          <cell r="A110" t="str">
            <v>430.10</v>
          </cell>
          <cell r="B110">
            <v>105</v>
          </cell>
          <cell r="C110" t="str">
            <v>525.10</v>
          </cell>
          <cell r="D110" t="str">
            <v>Angestellte</v>
          </cell>
          <cell r="E110">
            <v>1500</v>
          </cell>
          <cell r="F110">
            <v>0</v>
          </cell>
          <cell r="G110">
            <v>1500</v>
          </cell>
          <cell r="H110">
            <v>150.31</v>
          </cell>
          <cell r="I110">
            <v>1500</v>
          </cell>
          <cell r="J110">
            <v>0</v>
          </cell>
          <cell r="K110">
            <v>0</v>
          </cell>
          <cell r="L110">
            <v>0</v>
          </cell>
          <cell r="M110">
            <v>0</v>
          </cell>
          <cell r="N110">
            <v>0</v>
          </cell>
          <cell r="O110">
            <v>0</v>
          </cell>
          <cell r="P110">
            <v>0</v>
          </cell>
          <cell r="Q110">
            <v>0</v>
          </cell>
          <cell r="R110">
            <v>0</v>
          </cell>
          <cell r="S110">
            <v>0</v>
          </cell>
        </row>
        <row r="111">
          <cell r="A111" t="str">
            <v>430.20</v>
          </cell>
          <cell r="B111">
            <v>106</v>
          </cell>
          <cell r="C111" t="str">
            <v>525.30</v>
          </cell>
          <cell r="D111" t="str">
            <v>AStA</v>
          </cell>
          <cell r="E111">
            <v>1000</v>
          </cell>
          <cell r="F111">
            <v>199</v>
          </cell>
          <cell r="G111">
            <v>1000</v>
          </cell>
          <cell r="H111">
            <v>487.47</v>
          </cell>
          <cell r="I111">
            <v>1000</v>
          </cell>
          <cell r="J111">
            <v>0</v>
          </cell>
          <cell r="K111">
            <v>195</v>
          </cell>
          <cell r="L111">
            <v>195</v>
          </cell>
          <cell r="M111">
            <v>195</v>
          </cell>
          <cell r="N111">
            <v>195</v>
          </cell>
          <cell r="O111">
            <v>215</v>
          </cell>
          <cell r="P111">
            <v>215</v>
          </cell>
          <cell r="Q111">
            <v>215</v>
          </cell>
          <cell r="R111">
            <v>309</v>
          </cell>
          <cell r="S111">
            <v>309</v>
          </cell>
        </row>
        <row r="112">
          <cell r="A112" t="str">
            <v>430.30</v>
          </cell>
          <cell r="B112">
            <v>107</v>
          </cell>
          <cell r="C112" t="str">
            <v>525.20</v>
          </cell>
          <cell r="D112" t="str">
            <v>Sonstige Stud.Vertr.</v>
          </cell>
          <cell r="E112">
            <v>1500</v>
          </cell>
          <cell r="F112">
            <v>0</v>
          </cell>
          <cell r="G112">
            <v>1500</v>
          </cell>
          <cell r="H112">
            <v>0</v>
          </cell>
          <cell r="I112">
            <v>1500</v>
          </cell>
          <cell r="J112">
            <v>0</v>
          </cell>
          <cell r="K112">
            <v>0</v>
          </cell>
          <cell r="L112">
            <v>0</v>
          </cell>
          <cell r="M112">
            <v>0</v>
          </cell>
          <cell r="N112">
            <v>0</v>
          </cell>
          <cell r="O112">
            <v>0</v>
          </cell>
          <cell r="P112">
            <v>0</v>
          </cell>
          <cell r="Q112">
            <v>0</v>
          </cell>
          <cell r="R112">
            <v>0</v>
          </cell>
          <cell r="S112">
            <v>0</v>
          </cell>
        </row>
        <row r="113">
          <cell r="A113" t="str">
            <v>430.40</v>
          </cell>
          <cell r="B113">
            <v>108</v>
          </cell>
          <cell r="C113" t="str">
            <v>425.13, 425.25, 527.11, 527.12, 527.13</v>
          </cell>
          <cell r="D113" t="str">
            <v>Sonstige Kosten Personal</v>
          </cell>
          <cell r="E113">
            <v>800</v>
          </cell>
          <cell r="F113">
            <v>0</v>
          </cell>
          <cell r="G113">
            <v>700</v>
          </cell>
          <cell r="H113">
            <v>66.400000000000006</v>
          </cell>
          <cell r="I113">
            <v>700</v>
          </cell>
          <cell r="J113">
            <v>0</v>
          </cell>
          <cell r="K113">
            <v>0</v>
          </cell>
          <cell r="L113">
            <v>0</v>
          </cell>
          <cell r="M113">
            <v>0</v>
          </cell>
          <cell r="N113">
            <v>0</v>
          </cell>
          <cell r="O113">
            <v>22.2</v>
          </cell>
          <cell r="P113">
            <v>22.2</v>
          </cell>
          <cell r="Q113">
            <v>22.2</v>
          </cell>
          <cell r="R113">
            <v>42.2</v>
          </cell>
          <cell r="S113">
            <v>42.2</v>
          </cell>
        </row>
        <row r="114">
          <cell r="B114">
            <v>109</v>
          </cell>
          <cell r="H114">
            <v>0</v>
          </cell>
          <cell r="J114">
            <v>0</v>
          </cell>
          <cell r="K114">
            <v>0</v>
          </cell>
          <cell r="L114">
            <v>0</v>
          </cell>
          <cell r="M114">
            <v>0</v>
          </cell>
          <cell r="N114">
            <v>0</v>
          </cell>
          <cell r="O114">
            <v>0</v>
          </cell>
          <cell r="P114">
            <v>0</v>
          </cell>
          <cell r="Q114">
            <v>0</v>
          </cell>
          <cell r="R114">
            <v>0</v>
          </cell>
          <cell r="S114">
            <v>0</v>
          </cell>
        </row>
        <row r="115">
          <cell r="B115">
            <v>110</v>
          </cell>
          <cell r="H115">
            <v>0</v>
          </cell>
          <cell r="J115">
            <v>0</v>
          </cell>
          <cell r="K115">
            <v>0</v>
          </cell>
          <cell r="L115">
            <v>0</v>
          </cell>
          <cell r="M115">
            <v>0</v>
          </cell>
          <cell r="N115">
            <v>0</v>
          </cell>
          <cell r="O115">
            <v>0</v>
          </cell>
          <cell r="P115">
            <v>0</v>
          </cell>
          <cell r="Q115">
            <v>0</v>
          </cell>
          <cell r="R115">
            <v>0</v>
          </cell>
          <cell r="S115">
            <v>0</v>
          </cell>
        </row>
        <row r="116">
          <cell r="A116" t="str">
            <v>Plan 5</v>
          </cell>
          <cell r="B116">
            <v>111</v>
          </cell>
          <cell r="C116">
            <v>0</v>
          </cell>
          <cell r="D116" t="str">
            <v>Sach-, Allgemein- und Veranstaltungsausgaben</v>
          </cell>
          <cell r="E116">
            <v>725520</v>
          </cell>
          <cell r="F116">
            <v>553204.80000000005</v>
          </cell>
          <cell r="G116">
            <v>830147.28</v>
          </cell>
          <cell r="H116">
            <v>187682.13</v>
          </cell>
          <cell r="I116">
            <v>827001</v>
          </cell>
          <cell r="J116">
            <v>12609.289999999999</v>
          </cell>
          <cell r="K116">
            <v>20971.530000000002</v>
          </cell>
          <cell r="L116">
            <v>32518.960000000003</v>
          </cell>
          <cell r="M116">
            <v>42038.510000000009</v>
          </cell>
          <cell r="N116">
            <v>59307.060000000019</v>
          </cell>
          <cell r="O116">
            <v>90086.73000000001</v>
          </cell>
          <cell r="P116">
            <v>97934.880000000019</v>
          </cell>
          <cell r="Q116">
            <v>116970.69</v>
          </cell>
          <cell r="R116">
            <v>130287.85999999999</v>
          </cell>
          <cell r="S116">
            <v>144395.87</v>
          </cell>
        </row>
        <row r="117">
          <cell r="A117" t="str">
            <v>511.00</v>
          </cell>
          <cell r="B117">
            <v>112</v>
          </cell>
          <cell r="C117">
            <v>0</v>
          </cell>
          <cell r="D117" t="str">
            <v>Geschäftsausgaben</v>
          </cell>
          <cell r="E117">
            <v>13510</v>
          </cell>
          <cell r="F117">
            <v>13208.32</v>
          </cell>
          <cell r="G117">
            <v>17532.28</v>
          </cell>
          <cell r="H117">
            <v>14506.83</v>
          </cell>
          <cell r="I117">
            <v>19685</v>
          </cell>
          <cell r="J117">
            <v>1029.81</v>
          </cell>
          <cell r="K117">
            <v>1956.9500000000003</v>
          </cell>
          <cell r="L117">
            <v>3604.8900000000003</v>
          </cell>
          <cell r="M117">
            <v>4909.3140000000003</v>
          </cell>
          <cell r="N117">
            <v>5848.4060000000009</v>
          </cell>
          <cell r="O117">
            <v>6737.5059999999994</v>
          </cell>
          <cell r="P117">
            <v>7549.0439999999999</v>
          </cell>
          <cell r="Q117">
            <v>8504.2000000000007</v>
          </cell>
          <cell r="R117">
            <v>9410.2079999999987</v>
          </cell>
          <cell r="S117">
            <v>10868.774000000001</v>
          </cell>
        </row>
        <row r="118">
          <cell r="A118" t="str">
            <v>511.10</v>
          </cell>
          <cell r="B118">
            <v>113</v>
          </cell>
          <cell r="C118" t="str">
            <v>511.12, 511.14, 517.21, 517.22</v>
          </cell>
          <cell r="D118" t="str">
            <v>Geschäftskosten allgemein, Versicherungen</v>
          </cell>
          <cell r="E118">
            <v>1610</v>
          </cell>
          <cell r="F118">
            <v>953.35</v>
          </cell>
          <cell r="G118">
            <v>2000</v>
          </cell>
          <cell r="H118">
            <v>1919.29</v>
          </cell>
          <cell r="I118">
            <v>3000</v>
          </cell>
          <cell r="J118">
            <v>0</v>
          </cell>
          <cell r="K118">
            <v>108.01</v>
          </cell>
          <cell r="L118">
            <v>981.29</v>
          </cell>
          <cell r="M118">
            <v>1247.29</v>
          </cell>
          <cell r="N118">
            <v>1265.6500000000001</v>
          </cell>
          <cell r="O118">
            <v>1265.6500000000001</v>
          </cell>
          <cell r="P118">
            <v>1265.6500000000001</v>
          </cell>
          <cell r="Q118">
            <v>1284.01</v>
          </cell>
          <cell r="R118">
            <v>1284.01</v>
          </cell>
          <cell r="S118">
            <v>1284.01</v>
          </cell>
        </row>
        <row r="119">
          <cell r="A119" t="str">
            <v>511.20</v>
          </cell>
          <cell r="B119">
            <v>114</v>
          </cell>
          <cell r="C119" t="str">
            <v>511.10,  511.15</v>
          </cell>
          <cell r="D119" t="str">
            <v>Büromaterial</v>
          </cell>
          <cell r="E119">
            <v>550</v>
          </cell>
          <cell r="F119">
            <v>322.83999999999997</v>
          </cell>
          <cell r="G119">
            <v>800</v>
          </cell>
          <cell r="H119">
            <v>931.79</v>
          </cell>
          <cell r="I119">
            <v>1500</v>
          </cell>
          <cell r="J119">
            <v>182.91</v>
          </cell>
          <cell r="K119">
            <v>199.01</v>
          </cell>
          <cell r="L119">
            <v>199.01</v>
          </cell>
          <cell r="M119">
            <v>240.96</v>
          </cell>
          <cell r="N119">
            <v>259.58000000000004</v>
          </cell>
          <cell r="O119">
            <v>259.58000000000004</v>
          </cell>
          <cell r="P119">
            <v>301.52999999999997</v>
          </cell>
          <cell r="Q119">
            <v>301.52999999999997</v>
          </cell>
          <cell r="R119">
            <v>301.52999999999997</v>
          </cell>
          <cell r="S119">
            <v>343.48</v>
          </cell>
        </row>
        <row r="120">
          <cell r="A120" t="str">
            <v>511.30</v>
          </cell>
          <cell r="B120">
            <v>115</v>
          </cell>
          <cell r="C120" t="str">
            <v>511.17</v>
          </cell>
          <cell r="D120" t="str">
            <v>Porto</v>
          </cell>
          <cell r="E120">
            <v>350</v>
          </cell>
          <cell r="F120">
            <v>332.2</v>
          </cell>
          <cell r="G120">
            <v>602.28</v>
          </cell>
          <cell r="H120">
            <v>267.55</v>
          </cell>
          <cell r="I120">
            <v>535</v>
          </cell>
          <cell r="J120">
            <v>0</v>
          </cell>
          <cell r="K120">
            <v>0</v>
          </cell>
          <cell r="L120">
            <v>0</v>
          </cell>
          <cell r="M120">
            <v>0</v>
          </cell>
          <cell r="N120">
            <v>119.05</v>
          </cell>
          <cell r="O120">
            <v>119.05</v>
          </cell>
          <cell r="P120">
            <v>119.05</v>
          </cell>
          <cell r="Q120">
            <v>119.05</v>
          </cell>
          <cell r="R120">
            <v>119.05</v>
          </cell>
          <cell r="S120">
            <v>119.05</v>
          </cell>
        </row>
        <row r="121">
          <cell r="A121" t="str">
            <v>511.40</v>
          </cell>
          <cell r="B121">
            <v>116</v>
          </cell>
          <cell r="C121" t="str">
            <v>511.11</v>
          </cell>
          <cell r="D121" t="str">
            <v>Geldverwaltung und Verwahrgebühren</v>
          </cell>
          <cell r="E121">
            <v>600</v>
          </cell>
          <cell r="F121">
            <v>1915.76</v>
          </cell>
          <cell r="G121">
            <v>1200</v>
          </cell>
          <cell r="H121">
            <v>672.6</v>
          </cell>
          <cell r="I121">
            <v>800</v>
          </cell>
          <cell r="J121">
            <v>49.9</v>
          </cell>
          <cell r="K121">
            <v>99.8</v>
          </cell>
          <cell r="L121">
            <v>149.69999999999999</v>
          </cell>
          <cell r="M121">
            <v>227.6</v>
          </cell>
          <cell r="N121">
            <v>289.39999999999998</v>
          </cell>
          <cell r="O121">
            <v>339.3</v>
          </cell>
          <cell r="P121">
            <v>389.2</v>
          </cell>
          <cell r="Q121">
            <v>439.1</v>
          </cell>
          <cell r="R121">
            <v>493.8</v>
          </cell>
          <cell r="S121">
            <v>563.20000000000005</v>
          </cell>
        </row>
        <row r="122">
          <cell r="A122" t="str">
            <v>511.60</v>
          </cell>
          <cell r="B122">
            <v>118</v>
          </cell>
          <cell r="C122" t="str">
            <v>511.41, 511.42</v>
          </cell>
          <cell r="D122" t="str">
            <v>Telekommunikation</v>
          </cell>
          <cell r="E122">
            <v>700</v>
          </cell>
          <cell r="F122">
            <v>648.78</v>
          </cell>
          <cell r="G122">
            <v>800</v>
          </cell>
          <cell r="H122">
            <v>691.87</v>
          </cell>
          <cell r="I122">
            <v>800</v>
          </cell>
          <cell r="J122">
            <v>56.56</v>
          </cell>
          <cell r="K122">
            <v>113.16000000000001</v>
          </cell>
          <cell r="L122">
            <v>167.55</v>
          </cell>
          <cell r="M122">
            <v>215.61</v>
          </cell>
          <cell r="N122">
            <v>275.19</v>
          </cell>
          <cell r="O122">
            <v>322.90000000000003</v>
          </cell>
          <cell r="P122">
            <v>382.19</v>
          </cell>
          <cell r="Q122">
            <v>443.52000000000004</v>
          </cell>
          <cell r="R122">
            <v>503.55</v>
          </cell>
          <cell r="S122">
            <v>564.08999999999992</v>
          </cell>
        </row>
        <row r="123">
          <cell r="A123" t="str">
            <v>511.70</v>
          </cell>
          <cell r="B123">
            <v>119</v>
          </cell>
          <cell r="C123" t="str">
            <v>511.44</v>
          </cell>
          <cell r="D123" t="str">
            <v>Lizenzen_Ges.</v>
          </cell>
          <cell r="E123">
            <v>3500</v>
          </cell>
          <cell r="F123">
            <v>2552.9699999999998</v>
          </cell>
          <cell r="G123">
            <v>480</v>
          </cell>
          <cell r="H123">
            <v>3744.7</v>
          </cell>
          <cell r="I123">
            <v>5300</v>
          </cell>
          <cell r="J123">
            <v>238.68</v>
          </cell>
          <cell r="K123">
            <v>477.36</v>
          </cell>
          <cell r="L123">
            <v>716.04</v>
          </cell>
          <cell r="M123">
            <v>961.26</v>
          </cell>
          <cell r="N123">
            <v>1206.48</v>
          </cell>
          <cell r="O123">
            <v>1449.56</v>
          </cell>
          <cell r="P123">
            <v>1692.64</v>
          </cell>
          <cell r="Q123">
            <v>1935.72</v>
          </cell>
          <cell r="R123">
            <v>2178.8000000000002</v>
          </cell>
          <cell r="S123">
            <v>2893.41</v>
          </cell>
        </row>
        <row r="124">
          <cell r="A124" t="str">
            <v>511.80</v>
          </cell>
          <cell r="B124">
            <v>120</v>
          </cell>
          <cell r="C124" t="str">
            <v>511.13, 511.16</v>
          </cell>
          <cell r="D124" t="str">
            <v>Publikationen, Bücher, Zeitschriften</v>
          </cell>
          <cell r="E124">
            <v>100</v>
          </cell>
          <cell r="F124">
            <v>0</v>
          </cell>
          <cell r="G124">
            <v>100</v>
          </cell>
          <cell r="H124">
            <v>111.45</v>
          </cell>
          <cell r="I124">
            <v>300</v>
          </cell>
          <cell r="J124">
            <v>0</v>
          </cell>
          <cell r="K124">
            <v>0</v>
          </cell>
          <cell r="L124">
            <v>0</v>
          </cell>
          <cell r="M124">
            <v>151</v>
          </cell>
          <cell r="N124">
            <v>151</v>
          </cell>
          <cell r="O124">
            <v>151</v>
          </cell>
          <cell r="P124">
            <v>151</v>
          </cell>
          <cell r="Q124">
            <v>151</v>
          </cell>
          <cell r="R124">
            <v>151</v>
          </cell>
          <cell r="S124">
            <v>151</v>
          </cell>
        </row>
        <row r="125">
          <cell r="A125" t="str">
            <v>511.90</v>
          </cell>
          <cell r="B125">
            <v>121</v>
          </cell>
          <cell r="C125" t="str">
            <v>511.61 (x0,4), 511.43</v>
          </cell>
          <cell r="D125" t="str">
            <v>IT-Mieten</v>
          </cell>
          <cell r="E125">
            <v>6100</v>
          </cell>
          <cell r="F125">
            <v>6482.42</v>
          </cell>
          <cell r="G125">
            <v>7950</v>
          </cell>
          <cell r="H125">
            <v>6167.58</v>
          </cell>
          <cell r="I125">
            <v>7450</v>
          </cell>
          <cell r="J125">
            <v>501.76</v>
          </cell>
          <cell r="K125">
            <v>959.61000000000013</v>
          </cell>
          <cell r="L125">
            <v>1391.3000000000002</v>
          </cell>
          <cell r="M125">
            <v>1865.5940000000001</v>
          </cell>
          <cell r="N125">
            <v>2282.0560000000005</v>
          </cell>
          <cell r="O125">
            <v>2830.4659999999999</v>
          </cell>
          <cell r="P125">
            <v>3247.7840000000001</v>
          </cell>
          <cell r="Q125">
            <v>3830.27</v>
          </cell>
          <cell r="R125">
            <v>4378.4679999999998</v>
          </cell>
          <cell r="S125">
            <v>4950.5340000000006</v>
          </cell>
        </row>
        <row r="126">
          <cell r="B126" t="e">
            <v>#REF!</v>
          </cell>
          <cell r="H126">
            <v>0</v>
          </cell>
          <cell r="J126">
            <v>0</v>
          </cell>
          <cell r="K126">
            <v>0</v>
          </cell>
          <cell r="L126">
            <v>0</v>
          </cell>
          <cell r="M126">
            <v>0</v>
          </cell>
          <cell r="N126">
            <v>0</v>
          </cell>
          <cell r="O126">
            <v>0</v>
          </cell>
          <cell r="P126">
            <v>0</v>
          </cell>
          <cell r="Q126">
            <v>0</v>
          </cell>
          <cell r="R126">
            <v>0</v>
          </cell>
          <cell r="S126">
            <v>0</v>
          </cell>
        </row>
        <row r="127">
          <cell r="A127" t="str">
            <v>512.00</v>
          </cell>
          <cell r="B127">
            <v>122</v>
          </cell>
          <cell r="C127">
            <v>0</v>
          </cell>
          <cell r="D127" t="str">
            <v>Anschaffungen, Reparaturen, Renovierungen</v>
          </cell>
          <cell r="E127">
            <v>1700</v>
          </cell>
          <cell r="F127">
            <v>2179.1</v>
          </cell>
          <cell r="G127">
            <v>13000</v>
          </cell>
          <cell r="H127">
            <v>2771.96</v>
          </cell>
          <cell r="I127">
            <v>14000</v>
          </cell>
          <cell r="J127">
            <v>41.95</v>
          </cell>
          <cell r="K127">
            <v>41.95</v>
          </cell>
          <cell r="L127">
            <v>41.95</v>
          </cell>
          <cell r="M127">
            <v>113.80000000000001</v>
          </cell>
          <cell r="N127">
            <v>-5.3099999999999881</v>
          </cell>
          <cell r="O127">
            <v>-5.3099999999999881</v>
          </cell>
          <cell r="P127">
            <v>36.64</v>
          </cell>
          <cell r="Q127">
            <v>727.06000000000006</v>
          </cell>
          <cell r="R127">
            <v>1056.46</v>
          </cell>
          <cell r="S127">
            <v>1098.4100000000001</v>
          </cell>
        </row>
        <row r="128">
          <cell r="A128" t="str">
            <v>512.10</v>
          </cell>
          <cell r="B128">
            <v>123</v>
          </cell>
          <cell r="C128" t="str">
            <v>511.52, 511.53</v>
          </cell>
          <cell r="D128" t="str">
            <v>Neuanschaffungen allgemein</v>
          </cell>
          <cell r="E128">
            <v>700</v>
          </cell>
          <cell r="F128">
            <v>0</v>
          </cell>
          <cell r="G128">
            <v>7000</v>
          </cell>
          <cell r="H128">
            <v>0</v>
          </cell>
          <cell r="I128">
            <v>8000</v>
          </cell>
          <cell r="J128">
            <v>0</v>
          </cell>
          <cell r="K128">
            <v>0</v>
          </cell>
          <cell r="L128">
            <v>0</v>
          </cell>
          <cell r="M128">
            <v>0</v>
          </cell>
          <cell r="N128">
            <v>0</v>
          </cell>
          <cell r="O128">
            <v>0</v>
          </cell>
          <cell r="P128">
            <v>0</v>
          </cell>
          <cell r="Q128">
            <v>0</v>
          </cell>
          <cell r="R128">
            <v>0</v>
          </cell>
          <cell r="S128">
            <v>0</v>
          </cell>
        </row>
        <row r="129">
          <cell r="A129" t="str">
            <v>512.20</v>
          </cell>
          <cell r="B129">
            <v>124</v>
          </cell>
          <cell r="C129" t="str">
            <v>511.51</v>
          </cell>
          <cell r="D129" t="str">
            <v>Neuanschaffungen EDV und Telekommunikation</v>
          </cell>
          <cell r="E129">
            <v>500</v>
          </cell>
          <cell r="F129">
            <v>2053.25</v>
          </cell>
          <cell r="G129">
            <v>5500</v>
          </cell>
          <cell r="H129">
            <v>2562.21</v>
          </cell>
          <cell r="I129">
            <v>5500</v>
          </cell>
          <cell r="J129">
            <v>0</v>
          </cell>
          <cell r="K129">
            <v>0</v>
          </cell>
          <cell r="L129">
            <v>0</v>
          </cell>
          <cell r="M129">
            <v>29.9</v>
          </cell>
          <cell r="N129">
            <v>-89.21</v>
          </cell>
          <cell r="O129">
            <v>-89.21</v>
          </cell>
          <cell r="P129">
            <v>-89.21</v>
          </cell>
          <cell r="Q129">
            <v>601.21</v>
          </cell>
          <cell r="R129">
            <v>930.61</v>
          </cell>
          <cell r="S129">
            <v>930.61</v>
          </cell>
        </row>
        <row r="130">
          <cell r="A130" t="str">
            <v>512.40</v>
          </cell>
          <cell r="B130">
            <v>126</v>
          </cell>
          <cell r="C130" t="str">
            <v>511.62</v>
          </cell>
          <cell r="D130" t="str">
            <v>Renovierungen und Instandhaltung</v>
          </cell>
          <cell r="E130">
            <v>500</v>
          </cell>
          <cell r="F130">
            <v>125.85</v>
          </cell>
          <cell r="G130">
            <v>500</v>
          </cell>
          <cell r="H130">
            <v>209.75</v>
          </cell>
          <cell r="I130">
            <v>500</v>
          </cell>
          <cell r="J130">
            <v>41.95</v>
          </cell>
          <cell r="K130">
            <v>41.95</v>
          </cell>
          <cell r="L130">
            <v>41.95</v>
          </cell>
          <cell r="M130">
            <v>83.9</v>
          </cell>
          <cell r="N130">
            <v>83.9</v>
          </cell>
          <cell r="O130">
            <v>83.9</v>
          </cell>
          <cell r="P130">
            <v>125.85</v>
          </cell>
          <cell r="Q130">
            <v>125.85</v>
          </cell>
          <cell r="R130">
            <v>125.85</v>
          </cell>
          <cell r="S130">
            <v>167.8</v>
          </cell>
        </row>
        <row r="131">
          <cell r="B131" t="e">
            <v>#REF!</v>
          </cell>
          <cell r="H131">
            <v>0</v>
          </cell>
          <cell r="J131">
            <v>0</v>
          </cell>
          <cell r="K131">
            <v>0</v>
          </cell>
          <cell r="L131">
            <v>0</v>
          </cell>
          <cell r="M131">
            <v>0</v>
          </cell>
          <cell r="N131">
            <v>0</v>
          </cell>
          <cell r="O131">
            <v>0</v>
          </cell>
          <cell r="P131">
            <v>0</v>
          </cell>
          <cell r="Q131">
            <v>0</v>
          </cell>
          <cell r="R131">
            <v>0</v>
          </cell>
          <cell r="S131">
            <v>0</v>
          </cell>
        </row>
        <row r="132">
          <cell r="A132" t="str">
            <v>527.00</v>
          </cell>
          <cell r="B132" t="e">
            <v>#REF!</v>
          </cell>
          <cell r="C132">
            <v>0</v>
          </cell>
          <cell r="D132" t="str">
            <v>Reisekosten intern</v>
          </cell>
          <cell r="E132">
            <v>82900</v>
          </cell>
          <cell r="F132">
            <v>27831.1</v>
          </cell>
          <cell r="G132">
            <v>82770</v>
          </cell>
          <cell r="H132">
            <v>34570.870000000003</v>
          </cell>
          <cell r="I132">
            <v>112000</v>
          </cell>
          <cell r="J132">
            <v>4416.2300000000005</v>
          </cell>
          <cell r="K132">
            <v>6995.6500000000005</v>
          </cell>
          <cell r="L132">
            <v>12216.46</v>
          </cell>
          <cell r="M132">
            <v>15089.66</v>
          </cell>
          <cell r="N132">
            <v>18400.310000000005</v>
          </cell>
          <cell r="O132">
            <v>22499.61</v>
          </cell>
          <cell r="P132">
            <v>25235.500000000004</v>
          </cell>
          <cell r="Q132">
            <v>29268.300000000003</v>
          </cell>
          <cell r="R132">
            <v>32526.970000000005</v>
          </cell>
          <cell r="S132">
            <v>39815.81</v>
          </cell>
        </row>
        <row r="133">
          <cell r="A133" t="str">
            <v>527.10</v>
          </cell>
          <cell r="B133" t="e">
            <v>#REF!</v>
          </cell>
          <cell r="C133" t="str">
            <v>527.61, 527.62</v>
          </cell>
          <cell r="D133" t="str">
            <v>Funktion Unigremien</v>
          </cell>
          <cell r="E133">
            <v>1600</v>
          </cell>
          <cell r="F133">
            <v>296</v>
          </cell>
          <cell r="G133">
            <v>2000</v>
          </cell>
          <cell r="H133">
            <v>2183.1999999999998</v>
          </cell>
          <cell r="I133">
            <v>4000</v>
          </cell>
          <cell r="J133">
            <v>236.4</v>
          </cell>
          <cell r="K133">
            <v>257.39999999999998</v>
          </cell>
          <cell r="L133">
            <v>818.4</v>
          </cell>
          <cell r="M133">
            <v>877.2</v>
          </cell>
          <cell r="N133">
            <v>1399.6</v>
          </cell>
          <cell r="O133">
            <v>1735.3</v>
          </cell>
          <cell r="P133">
            <v>2352.2800000000002</v>
          </cell>
          <cell r="Q133">
            <v>2909.68</v>
          </cell>
          <cell r="R133">
            <v>3176.08</v>
          </cell>
          <cell r="S133">
            <v>5090.34</v>
          </cell>
        </row>
        <row r="134">
          <cell r="A134" t="str">
            <v>527.20</v>
          </cell>
          <cell r="B134" t="e">
            <v>#REF!</v>
          </cell>
          <cell r="C134" t="str">
            <v>527.21, 527.24, 527.27</v>
          </cell>
          <cell r="D134" t="str">
            <v>Fahrtkosten u. Verpfl.-Pauschale Stupa u. Ausschüsse</v>
          </cell>
          <cell r="E134">
            <v>32500</v>
          </cell>
          <cell r="F134">
            <v>10222.02</v>
          </cell>
          <cell r="G134">
            <v>30000</v>
          </cell>
          <cell r="H134">
            <v>16080.25</v>
          </cell>
          <cell r="I134">
            <v>32000</v>
          </cell>
          <cell r="J134">
            <v>1419.05</v>
          </cell>
          <cell r="K134">
            <v>3414.2300000000005</v>
          </cell>
          <cell r="L134">
            <v>5758.9500000000007</v>
          </cell>
          <cell r="M134">
            <v>6872.7999999999993</v>
          </cell>
          <cell r="N134">
            <v>7867.6</v>
          </cell>
          <cell r="O134">
            <v>10232.77</v>
          </cell>
          <cell r="P134">
            <v>11659.730000000001</v>
          </cell>
          <cell r="Q134">
            <v>13232.83</v>
          </cell>
          <cell r="R134">
            <v>14001.03</v>
          </cell>
          <cell r="S134">
            <v>15406.41</v>
          </cell>
        </row>
        <row r="135">
          <cell r="A135" t="str">
            <v>527.30</v>
          </cell>
          <cell r="B135" t="e">
            <v>#REF!</v>
          </cell>
          <cell r="C135" t="str">
            <v>527.31, 527.51,.527.54, 533.20, 536.11, 538.11, 550.11, 686.12</v>
          </cell>
          <cell r="D135" t="str">
            <v>FK und VP AStA-Referate und Gäste</v>
          </cell>
          <cell r="E135">
            <v>17800</v>
          </cell>
          <cell r="F135">
            <v>3686.11</v>
          </cell>
          <cell r="G135">
            <v>16800</v>
          </cell>
          <cell r="H135">
            <v>6216.53</v>
          </cell>
          <cell r="I135">
            <v>26000</v>
          </cell>
          <cell r="J135">
            <v>1239.5999999999999</v>
          </cell>
          <cell r="K135">
            <v>1549.61</v>
          </cell>
          <cell r="L135">
            <v>1671.23</v>
          </cell>
          <cell r="M135">
            <v>2312.4800000000005</v>
          </cell>
          <cell r="N135">
            <v>2811.6800000000003</v>
          </cell>
          <cell r="O135">
            <v>3461.17</v>
          </cell>
          <cell r="P135">
            <v>3858.13</v>
          </cell>
          <cell r="Q135">
            <v>4547.43</v>
          </cell>
          <cell r="R135">
            <v>5412.18</v>
          </cell>
          <cell r="S135">
            <v>6260.49</v>
          </cell>
        </row>
        <row r="136">
          <cell r="A136" t="str">
            <v>527.40</v>
          </cell>
          <cell r="B136">
            <v>131</v>
          </cell>
          <cell r="C136">
            <v>0</v>
          </cell>
          <cell r="D136" t="str">
            <v>Fahrtkosten u. Verpflegungspausch. Fachschaften</v>
          </cell>
          <cell r="E136">
            <v>28500</v>
          </cell>
          <cell r="F136">
            <v>12015.11</v>
          </cell>
          <cell r="G136">
            <v>30970</v>
          </cell>
          <cell r="H136">
            <v>9641.39</v>
          </cell>
          <cell r="I136">
            <v>45000</v>
          </cell>
          <cell r="J136">
            <v>1521.18</v>
          </cell>
          <cell r="K136">
            <v>1774.41</v>
          </cell>
          <cell r="L136">
            <v>3967.8799999999997</v>
          </cell>
          <cell r="M136">
            <v>5027.1799999999994</v>
          </cell>
          <cell r="N136">
            <v>5960.73</v>
          </cell>
          <cell r="O136">
            <v>6709.67</v>
          </cell>
          <cell r="P136">
            <v>7004.6600000000017</v>
          </cell>
          <cell r="Q136">
            <v>8217.66</v>
          </cell>
          <cell r="R136">
            <v>9270.98</v>
          </cell>
          <cell r="S136">
            <v>12296.47</v>
          </cell>
        </row>
        <row r="137">
          <cell r="A137" t="str">
            <v>527.41</v>
          </cell>
          <cell r="B137">
            <v>132</v>
          </cell>
          <cell r="C137" t="str">
            <v>686.32</v>
          </cell>
          <cell r="D137" t="str">
            <v>FSR WiWi</v>
          </cell>
          <cell r="E137">
            <v>14000</v>
          </cell>
          <cell r="F137">
            <v>8591.16</v>
          </cell>
          <cell r="G137">
            <v>15000</v>
          </cell>
          <cell r="H137">
            <v>4457.1000000000004</v>
          </cell>
          <cell r="I137">
            <v>15000</v>
          </cell>
          <cell r="J137">
            <v>910.73</v>
          </cell>
          <cell r="K137">
            <v>1006.23</v>
          </cell>
          <cell r="L137">
            <v>2528.83</v>
          </cell>
          <cell r="M137">
            <v>3268.63</v>
          </cell>
          <cell r="N137">
            <v>3498.38</v>
          </cell>
          <cell r="O137">
            <v>4075.27</v>
          </cell>
          <cell r="P137">
            <v>4075.27</v>
          </cell>
          <cell r="Q137">
            <v>4615.25</v>
          </cell>
          <cell r="R137">
            <v>5504.65</v>
          </cell>
          <cell r="S137">
            <v>7998.73</v>
          </cell>
        </row>
        <row r="138">
          <cell r="A138" t="str">
            <v>527.42</v>
          </cell>
          <cell r="B138">
            <v>133</v>
          </cell>
          <cell r="C138" t="str">
            <v>686.42</v>
          </cell>
          <cell r="D138" t="str">
            <v>FSR KSW</v>
          </cell>
          <cell r="E138">
            <v>1000</v>
          </cell>
          <cell r="F138">
            <v>501.44</v>
          </cell>
          <cell r="G138">
            <v>3570</v>
          </cell>
          <cell r="H138">
            <v>995.33</v>
          </cell>
          <cell r="I138">
            <v>6000</v>
          </cell>
          <cell r="J138">
            <v>0</v>
          </cell>
          <cell r="K138">
            <v>80.33</v>
          </cell>
          <cell r="L138">
            <v>80.33</v>
          </cell>
          <cell r="M138">
            <v>80.33</v>
          </cell>
          <cell r="N138">
            <v>80.33</v>
          </cell>
          <cell r="O138">
            <v>111.83</v>
          </cell>
          <cell r="P138">
            <v>111.83</v>
          </cell>
          <cell r="Q138">
            <v>111.83</v>
          </cell>
          <cell r="R138">
            <v>111.83</v>
          </cell>
          <cell r="S138">
            <v>111.83</v>
          </cell>
        </row>
        <row r="139">
          <cell r="A139" t="str">
            <v>527.43</v>
          </cell>
          <cell r="B139">
            <v>134</v>
          </cell>
          <cell r="C139" t="str">
            <v>686.52</v>
          </cell>
          <cell r="D139" t="str">
            <v>FSR PSY</v>
          </cell>
          <cell r="E139">
            <v>1500</v>
          </cell>
          <cell r="F139">
            <v>897.76</v>
          </cell>
          <cell r="G139">
            <v>2600</v>
          </cell>
          <cell r="H139">
            <v>1081.3800000000001</v>
          </cell>
          <cell r="I139">
            <v>6000</v>
          </cell>
          <cell r="J139">
            <v>0</v>
          </cell>
          <cell r="K139">
            <v>0</v>
          </cell>
          <cell r="L139">
            <v>0</v>
          </cell>
          <cell r="M139">
            <v>0</v>
          </cell>
          <cell r="N139">
            <v>138</v>
          </cell>
          <cell r="O139">
            <v>138</v>
          </cell>
          <cell r="P139">
            <v>238.6</v>
          </cell>
          <cell r="Q139">
            <v>705.42</v>
          </cell>
          <cell r="R139">
            <v>705.42</v>
          </cell>
          <cell r="S139">
            <v>705.42</v>
          </cell>
        </row>
        <row r="140">
          <cell r="A140" t="str">
            <v>527.44</v>
          </cell>
          <cell r="B140">
            <v>135</v>
          </cell>
          <cell r="C140" t="str">
            <v>686.62</v>
          </cell>
          <cell r="D140" t="str">
            <v>FSR ReWi</v>
          </cell>
          <cell r="E140">
            <v>8000</v>
          </cell>
          <cell r="F140">
            <v>1852.7</v>
          </cell>
          <cell r="G140">
            <v>7800</v>
          </cell>
          <cell r="H140">
            <v>2926.88</v>
          </cell>
          <cell r="I140">
            <v>12000</v>
          </cell>
          <cell r="J140">
            <v>610.45000000000005</v>
          </cell>
          <cell r="K140">
            <v>610.45000000000005</v>
          </cell>
          <cell r="L140">
            <v>1281.32</v>
          </cell>
          <cell r="M140">
            <v>1600.82</v>
          </cell>
          <cell r="N140">
            <v>2166.62</v>
          </cell>
          <cell r="O140">
            <v>2275.7199999999998</v>
          </cell>
          <cell r="P140">
            <v>2470.11</v>
          </cell>
          <cell r="Q140">
            <v>2676.31</v>
          </cell>
          <cell r="R140">
            <v>2676.31</v>
          </cell>
          <cell r="S140">
            <v>2851.86</v>
          </cell>
        </row>
        <row r="141">
          <cell r="A141" t="str">
            <v>527.45</v>
          </cell>
          <cell r="B141">
            <v>136</v>
          </cell>
          <cell r="C141" t="str">
            <v>686.72</v>
          </cell>
          <cell r="D141" t="str">
            <v>FSR M+I</v>
          </cell>
          <cell r="E141">
            <v>4000</v>
          </cell>
          <cell r="F141">
            <v>172.05</v>
          </cell>
          <cell r="G141">
            <v>2000</v>
          </cell>
          <cell r="H141">
            <v>180.7</v>
          </cell>
          <cell r="I141">
            <v>6000</v>
          </cell>
          <cell r="J141">
            <v>0</v>
          </cell>
          <cell r="K141">
            <v>77.400000000000006</v>
          </cell>
          <cell r="L141">
            <v>77.400000000000006</v>
          </cell>
          <cell r="M141">
            <v>77.400000000000006</v>
          </cell>
          <cell r="N141">
            <v>77.400000000000006</v>
          </cell>
          <cell r="O141">
            <v>108.85</v>
          </cell>
          <cell r="P141">
            <v>108.85</v>
          </cell>
          <cell r="Q141">
            <v>108.85</v>
          </cell>
          <cell r="R141">
            <v>272.77</v>
          </cell>
          <cell r="S141">
            <v>628.63</v>
          </cell>
        </row>
        <row r="142">
          <cell r="A142" t="str">
            <v>527.50</v>
          </cell>
          <cell r="B142">
            <v>137</v>
          </cell>
          <cell r="C142" t="str">
            <v>686.22</v>
          </cell>
          <cell r="D142" t="str">
            <v>Fachschaftsrätekonferenz</v>
          </cell>
          <cell r="E142">
            <v>2500</v>
          </cell>
          <cell r="F142">
            <v>1611.86</v>
          </cell>
          <cell r="G142">
            <v>3000</v>
          </cell>
          <cell r="H142">
            <v>449.5</v>
          </cell>
          <cell r="I142">
            <v>5000</v>
          </cell>
          <cell r="J142">
            <v>0</v>
          </cell>
          <cell r="K142">
            <v>0</v>
          </cell>
          <cell r="L142">
            <v>0</v>
          </cell>
          <cell r="M142">
            <v>0</v>
          </cell>
          <cell r="N142">
            <v>360.7</v>
          </cell>
          <cell r="O142">
            <v>360.7</v>
          </cell>
          <cell r="P142">
            <v>360.7</v>
          </cell>
          <cell r="Q142">
            <v>360.7</v>
          </cell>
          <cell r="R142">
            <v>666.7</v>
          </cell>
          <cell r="S142">
            <v>762.1</v>
          </cell>
        </row>
        <row r="143">
          <cell r="B143">
            <v>138</v>
          </cell>
          <cell r="H143">
            <v>0</v>
          </cell>
          <cell r="J143">
            <v>0</v>
          </cell>
          <cell r="K143">
            <v>0</v>
          </cell>
          <cell r="L143">
            <v>0</v>
          </cell>
          <cell r="M143">
            <v>0</v>
          </cell>
          <cell r="N143">
            <v>0</v>
          </cell>
          <cell r="O143">
            <v>0</v>
          </cell>
          <cell r="P143">
            <v>0</v>
          </cell>
          <cell r="Q143">
            <v>0</v>
          </cell>
          <cell r="R143">
            <v>0</v>
          </cell>
          <cell r="S143">
            <v>0</v>
          </cell>
        </row>
        <row r="144">
          <cell r="A144" t="str">
            <v>529.00</v>
          </cell>
          <cell r="B144">
            <v>139</v>
          </cell>
          <cell r="C144">
            <v>0</v>
          </cell>
          <cell r="D144" t="str">
            <v>Raum- und Unterkunftskosten intern</v>
          </cell>
          <cell r="E144">
            <v>24810</v>
          </cell>
          <cell r="F144">
            <v>9119.2000000000007</v>
          </cell>
          <cell r="G144">
            <v>43070</v>
          </cell>
          <cell r="H144">
            <v>13600.53</v>
          </cell>
          <cell r="I144">
            <v>31276</v>
          </cell>
          <cell r="J144">
            <v>1877.6000000000001</v>
          </cell>
          <cell r="K144">
            <v>3036.7999999999997</v>
          </cell>
          <cell r="L144">
            <v>5038.3099999999995</v>
          </cell>
          <cell r="M144">
            <v>6235.0199999999995</v>
          </cell>
          <cell r="N144">
            <v>7668.5199999999995</v>
          </cell>
          <cell r="O144">
            <v>8800.4699999999993</v>
          </cell>
          <cell r="P144">
            <v>9431.67</v>
          </cell>
          <cell r="Q144">
            <v>13843.36</v>
          </cell>
          <cell r="R144">
            <v>14670.689999999999</v>
          </cell>
          <cell r="S144">
            <v>16018.319999999998</v>
          </cell>
        </row>
        <row r="145">
          <cell r="A145" t="str">
            <v>529.10</v>
          </cell>
          <cell r="B145">
            <v>140</v>
          </cell>
          <cell r="C145" t="str">
            <v>n.a.</v>
          </cell>
          <cell r="D145" t="str">
            <v>Funktion Unigremien</v>
          </cell>
          <cell r="E145">
            <v>0</v>
          </cell>
          <cell r="F145">
            <v>0</v>
          </cell>
          <cell r="G145">
            <v>500</v>
          </cell>
          <cell r="H145">
            <v>0</v>
          </cell>
          <cell r="I145">
            <v>1000</v>
          </cell>
          <cell r="J145">
            <v>0</v>
          </cell>
          <cell r="K145">
            <v>0</v>
          </cell>
          <cell r="L145">
            <v>0</v>
          </cell>
          <cell r="M145">
            <v>0</v>
          </cell>
          <cell r="N145">
            <v>0</v>
          </cell>
          <cell r="O145">
            <v>0</v>
          </cell>
          <cell r="P145">
            <v>0</v>
          </cell>
          <cell r="Q145">
            <v>0</v>
          </cell>
          <cell r="R145">
            <v>0</v>
          </cell>
          <cell r="S145">
            <v>0</v>
          </cell>
        </row>
        <row r="146">
          <cell r="A146" t="str">
            <v>529.20</v>
          </cell>
          <cell r="B146">
            <v>141</v>
          </cell>
          <cell r="C146" t="str">
            <v>527.22, 527.23, 527.25, 527.26,527.28, 527.29</v>
          </cell>
          <cell r="D146" t="str">
            <v>Studierendenparlament und Ausschüsse</v>
          </cell>
          <cell r="E146">
            <v>10350</v>
          </cell>
          <cell r="F146">
            <v>4807.57</v>
          </cell>
          <cell r="G146">
            <v>13000</v>
          </cell>
          <cell r="H146">
            <v>7621.5</v>
          </cell>
          <cell r="I146">
            <v>15000</v>
          </cell>
          <cell r="J146">
            <v>1004</v>
          </cell>
          <cell r="K146">
            <v>1958.2</v>
          </cell>
          <cell r="L146">
            <v>3478</v>
          </cell>
          <cell r="M146">
            <v>3533.75</v>
          </cell>
          <cell r="N146">
            <v>4761.75</v>
          </cell>
          <cell r="O146">
            <v>4995.3500000000004</v>
          </cell>
          <cell r="P146">
            <v>5022.3500000000004</v>
          </cell>
          <cell r="Q146">
            <v>8458.57</v>
          </cell>
          <cell r="R146">
            <v>8358.82</v>
          </cell>
          <cell r="S146">
            <v>8358.82</v>
          </cell>
        </row>
        <row r="147">
          <cell r="A147" t="str">
            <v>529.30</v>
          </cell>
          <cell r="B147">
            <v>142</v>
          </cell>
          <cell r="C147" t="str">
            <v>527.32, 527.33, 527.52, 527.53, 527.55, 527.56, 550.13, 686.14</v>
          </cell>
          <cell r="D147" t="str">
            <v>AStA-Referate und Gäste</v>
          </cell>
          <cell r="E147">
            <v>5960</v>
          </cell>
          <cell r="F147">
            <v>1551.23</v>
          </cell>
          <cell r="G147">
            <v>16250</v>
          </cell>
          <cell r="H147">
            <v>2088.4499999999998</v>
          </cell>
          <cell r="I147">
            <v>2206</v>
          </cell>
          <cell r="J147">
            <v>96</v>
          </cell>
          <cell r="K147">
            <v>224</v>
          </cell>
          <cell r="L147">
            <v>320</v>
          </cell>
          <cell r="M147">
            <v>454.16</v>
          </cell>
          <cell r="N147">
            <v>518.16</v>
          </cell>
          <cell r="O147">
            <v>1204.51</v>
          </cell>
          <cell r="P147">
            <v>1364.51</v>
          </cell>
          <cell r="Q147">
            <v>1669.51</v>
          </cell>
          <cell r="R147">
            <v>2066.5100000000002</v>
          </cell>
          <cell r="S147">
            <v>2786.71</v>
          </cell>
        </row>
        <row r="148">
          <cell r="A148" t="str">
            <v>529.40</v>
          </cell>
          <cell r="B148">
            <v>143</v>
          </cell>
          <cell r="C148">
            <v>0</v>
          </cell>
          <cell r="D148" t="str">
            <v>Raum- und Unterkunftskosten Fachschaften</v>
          </cell>
          <cell r="E148">
            <v>7000</v>
          </cell>
          <cell r="F148">
            <v>2117.4</v>
          </cell>
          <cell r="G148">
            <v>11320</v>
          </cell>
          <cell r="H148">
            <v>3570.58</v>
          </cell>
          <cell r="I148">
            <v>11070</v>
          </cell>
          <cell r="J148">
            <v>777.59999999999991</v>
          </cell>
          <cell r="K148">
            <v>854.59999999999991</v>
          </cell>
          <cell r="L148">
            <v>1240.31</v>
          </cell>
          <cell r="M148">
            <v>1626.31</v>
          </cell>
          <cell r="N148">
            <v>1767.81</v>
          </cell>
          <cell r="O148">
            <v>1979.81</v>
          </cell>
          <cell r="P148">
            <v>2424.0100000000002</v>
          </cell>
          <cell r="Q148">
            <v>3094.4799999999996</v>
          </cell>
          <cell r="R148">
            <v>3624.5599999999995</v>
          </cell>
          <cell r="S148">
            <v>4251.99</v>
          </cell>
        </row>
        <row r="149">
          <cell r="A149" t="str">
            <v>529.41</v>
          </cell>
          <cell r="B149">
            <v>144</v>
          </cell>
          <cell r="C149" t="str">
            <v>686.34</v>
          </cell>
          <cell r="D149" t="str">
            <v>WiWi</v>
          </cell>
          <cell r="E149">
            <v>3000</v>
          </cell>
          <cell r="F149">
            <v>1120</v>
          </cell>
          <cell r="G149">
            <v>4200</v>
          </cell>
          <cell r="H149">
            <v>1647.92</v>
          </cell>
          <cell r="I149">
            <v>3000</v>
          </cell>
          <cell r="J149">
            <v>298.89999999999998</v>
          </cell>
          <cell r="K149">
            <v>375.9</v>
          </cell>
          <cell r="L149">
            <v>599.9</v>
          </cell>
          <cell r="M149">
            <v>663.9</v>
          </cell>
          <cell r="N149">
            <v>663.9</v>
          </cell>
          <cell r="O149">
            <v>875.9</v>
          </cell>
          <cell r="P149">
            <v>1171.9000000000001</v>
          </cell>
          <cell r="Q149">
            <v>1810.37</v>
          </cell>
          <cell r="R149">
            <v>2100.4499999999998</v>
          </cell>
          <cell r="S149">
            <v>2520.48</v>
          </cell>
        </row>
        <row r="150">
          <cell r="A150" t="str">
            <v>529.42</v>
          </cell>
          <cell r="B150">
            <v>145</v>
          </cell>
          <cell r="C150" t="str">
            <v>686.44</v>
          </cell>
          <cell r="D150" t="str">
            <v>KSW</v>
          </cell>
          <cell r="E150">
            <v>500</v>
          </cell>
          <cell r="F150">
            <v>302.39999999999998</v>
          </cell>
          <cell r="G150">
            <v>2670</v>
          </cell>
          <cell r="H150">
            <v>320</v>
          </cell>
          <cell r="I150">
            <v>2670</v>
          </cell>
          <cell r="J150">
            <v>0</v>
          </cell>
          <cell r="K150">
            <v>0</v>
          </cell>
          <cell r="L150">
            <v>0</v>
          </cell>
          <cell r="M150">
            <v>0</v>
          </cell>
          <cell r="N150">
            <v>0</v>
          </cell>
          <cell r="O150">
            <v>0</v>
          </cell>
          <cell r="P150">
            <v>0</v>
          </cell>
          <cell r="Q150">
            <v>0</v>
          </cell>
          <cell r="R150">
            <v>0</v>
          </cell>
          <cell r="S150">
            <v>32</v>
          </cell>
        </row>
        <row r="151">
          <cell r="A151" t="str">
            <v>529.43</v>
          </cell>
          <cell r="B151">
            <v>146</v>
          </cell>
          <cell r="C151" t="str">
            <v>686.54</v>
          </cell>
          <cell r="D151" t="str">
            <v>PSY</v>
          </cell>
          <cell r="E151">
            <v>500</v>
          </cell>
          <cell r="F151">
            <v>551</v>
          </cell>
          <cell r="G151">
            <v>1600</v>
          </cell>
          <cell r="H151">
            <v>266.97000000000003</v>
          </cell>
          <cell r="I151">
            <v>1400</v>
          </cell>
          <cell r="J151">
            <v>0</v>
          </cell>
          <cell r="K151">
            <v>0</v>
          </cell>
          <cell r="L151">
            <v>0</v>
          </cell>
          <cell r="M151">
            <v>94</v>
          </cell>
          <cell r="N151">
            <v>94</v>
          </cell>
          <cell r="O151">
            <v>94</v>
          </cell>
          <cell r="P151">
            <v>94</v>
          </cell>
          <cell r="Q151">
            <v>94</v>
          </cell>
          <cell r="R151">
            <v>94</v>
          </cell>
          <cell r="S151">
            <v>94</v>
          </cell>
        </row>
        <row r="152">
          <cell r="A152" t="str">
            <v>529.44</v>
          </cell>
          <cell r="B152">
            <v>147</v>
          </cell>
          <cell r="C152" t="str">
            <v>686.64</v>
          </cell>
          <cell r="D152" t="str">
            <v>ReWi</v>
          </cell>
          <cell r="E152">
            <v>2000</v>
          </cell>
          <cell r="F152">
            <v>144</v>
          </cell>
          <cell r="G152">
            <v>1700</v>
          </cell>
          <cell r="H152">
            <v>1335.69</v>
          </cell>
          <cell r="I152">
            <v>2500</v>
          </cell>
          <cell r="J152">
            <v>478.7</v>
          </cell>
          <cell r="K152">
            <v>478.7</v>
          </cell>
          <cell r="L152">
            <v>640.41</v>
          </cell>
          <cell r="M152">
            <v>868.41</v>
          </cell>
          <cell r="N152">
            <v>1009.91</v>
          </cell>
          <cell r="O152">
            <v>1009.91</v>
          </cell>
          <cell r="P152">
            <v>1158.1099999999999</v>
          </cell>
          <cell r="Q152">
            <v>1158.1099999999999</v>
          </cell>
          <cell r="R152">
            <v>1158.1099999999999</v>
          </cell>
          <cell r="S152">
            <v>1281.51</v>
          </cell>
        </row>
        <row r="153">
          <cell r="A153" t="str">
            <v>529.45</v>
          </cell>
          <cell r="B153">
            <v>148</v>
          </cell>
          <cell r="C153" t="str">
            <v>686.74</v>
          </cell>
          <cell r="D153" t="str">
            <v>M+I</v>
          </cell>
          <cell r="E153">
            <v>1000</v>
          </cell>
          <cell r="F153">
            <v>0</v>
          </cell>
          <cell r="G153">
            <v>1150</v>
          </cell>
          <cell r="H153">
            <v>0</v>
          </cell>
          <cell r="I153">
            <v>1500</v>
          </cell>
          <cell r="J153">
            <v>0</v>
          </cell>
          <cell r="K153">
            <v>0</v>
          </cell>
          <cell r="L153">
            <v>0</v>
          </cell>
          <cell r="M153">
            <v>0</v>
          </cell>
          <cell r="N153">
            <v>0</v>
          </cell>
          <cell r="O153">
            <v>0</v>
          </cell>
          <cell r="P153">
            <v>0</v>
          </cell>
          <cell r="Q153">
            <v>32</v>
          </cell>
          <cell r="R153">
            <v>272</v>
          </cell>
          <cell r="S153">
            <v>324</v>
          </cell>
        </row>
        <row r="154">
          <cell r="A154" t="str">
            <v>529.50</v>
          </cell>
          <cell r="B154">
            <v>149</v>
          </cell>
          <cell r="C154" t="str">
            <v>686.24</v>
          </cell>
          <cell r="D154" t="str">
            <v>FSRK</v>
          </cell>
          <cell r="E154">
            <v>1500</v>
          </cell>
          <cell r="F154">
            <v>643</v>
          </cell>
          <cell r="G154">
            <v>2000</v>
          </cell>
          <cell r="H154">
            <v>320</v>
          </cell>
          <cell r="I154">
            <v>2000</v>
          </cell>
          <cell r="J154">
            <v>0</v>
          </cell>
          <cell r="K154">
            <v>0</v>
          </cell>
          <cell r="L154">
            <v>0</v>
          </cell>
          <cell r="M154">
            <v>620.79999999999995</v>
          </cell>
          <cell r="N154">
            <v>620.79999999999995</v>
          </cell>
          <cell r="O154">
            <v>620.79999999999995</v>
          </cell>
          <cell r="P154">
            <v>620.79999999999995</v>
          </cell>
          <cell r="Q154">
            <v>620.79999999999995</v>
          </cell>
          <cell r="R154">
            <v>620.79999999999995</v>
          </cell>
          <cell r="S154">
            <v>620.79999999999995</v>
          </cell>
        </row>
        <row r="155">
          <cell r="B155">
            <v>150</v>
          </cell>
          <cell r="H155">
            <v>0</v>
          </cell>
          <cell r="J155">
            <v>0</v>
          </cell>
          <cell r="K155">
            <v>0</v>
          </cell>
          <cell r="L155">
            <v>0</v>
          </cell>
          <cell r="M155">
            <v>0</v>
          </cell>
          <cell r="N155">
            <v>0</v>
          </cell>
          <cell r="O155">
            <v>0</v>
          </cell>
          <cell r="P155">
            <v>0</v>
          </cell>
          <cell r="Q155">
            <v>0</v>
          </cell>
          <cell r="R155">
            <v>0</v>
          </cell>
          <cell r="S155">
            <v>0</v>
          </cell>
        </row>
        <row r="156">
          <cell r="A156" t="str">
            <v>531.00</v>
          </cell>
          <cell r="B156">
            <v>151</v>
          </cell>
          <cell r="C156">
            <v>0</v>
          </cell>
          <cell r="D156" t="str">
            <v>Bewirtungs- und Repräsentationskosten Intern</v>
          </cell>
          <cell r="E156">
            <v>6850</v>
          </cell>
          <cell r="F156">
            <v>2694.37</v>
          </cell>
          <cell r="G156">
            <v>12800</v>
          </cell>
          <cell r="H156">
            <v>5105.21</v>
          </cell>
          <cell r="I156">
            <v>17498</v>
          </cell>
          <cell r="J156">
            <v>443.87</v>
          </cell>
          <cell r="K156">
            <v>943.1</v>
          </cell>
          <cell r="L156">
            <v>2177.34</v>
          </cell>
          <cell r="M156">
            <v>2658.0899999999997</v>
          </cell>
          <cell r="N156">
            <v>3279.6499999999996</v>
          </cell>
          <cell r="O156">
            <v>3545</v>
          </cell>
          <cell r="P156">
            <v>3545</v>
          </cell>
          <cell r="Q156">
            <v>4289.33</v>
          </cell>
          <cell r="R156">
            <v>4563.13</v>
          </cell>
          <cell r="S156">
            <v>4757.46</v>
          </cell>
        </row>
        <row r="157">
          <cell r="A157" t="str">
            <v>531.10</v>
          </cell>
          <cell r="B157">
            <v>152</v>
          </cell>
          <cell r="C157" t="str">
            <v>529.20</v>
          </cell>
          <cell r="D157" t="str">
            <v>Studierendenparlament und Ausschüsse</v>
          </cell>
          <cell r="E157">
            <v>2500</v>
          </cell>
          <cell r="F157">
            <v>1810.85</v>
          </cell>
          <cell r="G157">
            <v>2500</v>
          </cell>
          <cell r="H157">
            <v>3595.3</v>
          </cell>
          <cell r="I157">
            <v>8000</v>
          </cell>
          <cell r="J157">
            <v>271.69</v>
          </cell>
          <cell r="K157">
            <v>544.09</v>
          </cell>
          <cell r="L157">
            <v>1775.13</v>
          </cell>
          <cell r="M157">
            <v>1996.38</v>
          </cell>
          <cell r="N157">
            <v>2506.23</v>
          </cell>
          <cell r="O157">
            <v>2506.23</v>
          </cell>
          <cell r="P157">
            <v>2506.23</v>
          </cell>
          <cell r="Q157">
            <v>3211.4</v>
          </cell>
          <cell r="R157">
            <v>3211.4</v>
          </cell>
          <cell r="S157">
            <v>3211.4</v>
          </cell>
        </row>
        <row r="158">
          <cell r="A158" t="str">
            <v>531.20</v>
          </cell>
          <cell r="B158">
            <v>153</v>
          </cell>
          <cell r="C158" t="str">
            <v>529.10</v>
          </cell>
          <cell r="D158" t="str">
            <v>AStA-Referate + Gäste</v>
          </cell>
          <cell r="E158">
            <v>2500</v>
          </cell>
          <cell r="F158">
            <v>732.35</v>
          </cell>
          <cell r="G158">
            <v>5050</v>
          </cell>
          <cell r="H158">
            <v>1080.08</v>
          </cell>
          <cell r="I158">
            <v>2548</v>
          </cell>
          <cell r="J158">
            <v>172.18</v>
          </cell>
          <cell r="K158">
            <v>399.01</v>
          </cell>
          <cell r="L158">
            <v>399.01</v>
          </cell>
          <cell r="M158">
            <v>498.89</v>
          </cell>
          <cell r="N158">
            <v>578.6</v>
          </cell>
          <cell r="O158">
            <v>843.95</v>
          </cell>
          <cell r="P158">
            <v>843.95</v>
          </cell>
          <cell r="Q158">
            <v>881.72</v>
          </cell>
          <cell r="R158">
            <v>976.14</v>
          </cell>
          <cell r="S158">
            <v>1170.47</v>
          </cell>
        </row>
        <row r="159">
          <cell r="A159" t="str">
            <v>531.30</v>
          </cell>
          <cell r="B159">
            <v>154</v>
          </cell>
          <cell r="C159" t="str">
            <v>529.30</v>
          </cell>
          <cell r="D159" t="str">
            <v>Sonstige (Kleinigkeiten in der AStA-Küche, Getränke)</v>
          </cell>
          <cell r="E159">
            <v>100</v>
          </cell>
          <cell r="F159">
            <v>0</v>
          </cell>
          <cell r="G159">
            <v>1000</v>
          </cell>
          <cell r="H159">
            <v>214.9</v>
          </cell>
          <cell r="I159">
            <v>1000</v>
          </cell>
          <cell r="J159">
            <v>0</v>
          </cell>
          <cell r="K159">
            <v>0</v>
          </cell>
          <cell r="L159">
            <v>0</v>
          </cell>
          <cell r="M159">
            <v>0</v>
          </cell>
          <cell r="N159">
            <v>0</v>
          </cell>
          <cell r="O159">
            <v>0</v>
          </cell>
          <cell r="P159">
            <v>0</v>
          </cell>
          <cell r="Q159">
            <v>0</v>
          </cell>
          <cell r="R159">
            <v>0</v>
          </cell>
          <cell r="S159">
            <v>0</v>
          </cell>
        </row>
        <row r="160">
          <cell r="A160" t="str">
            <v>531.40</v>
          </cell>
          <cell r="B160">
            <v>155</v>
          </cell>
          <cell r="C160">
            <v>0</v>
          </cell>
          <cell r="D160" t="str">
            <v>Bewirtung und Repräsentation Fachschaften</v>
          </cell>
          <cell r="E160">
            <v>1550</v>
          </cell>
          <cell r="F160">
            <v>142.19</v>
          </cell>
          <cell r="G160">
            <v>3750</v>
          </cell>
          <cell r="H160">
            <v>214.9</v>
          </cell>
          <cell r="I160">
            <v>4450</v>
          </cell>
          <cell r="J160">
            <v>0</v>
          </cell>
          <cell r="K160">
            <v>0</v>
          </cell>
          <cell r="L160">
            <v>3.2</v>
          </cell>
          <cell r="M160">
            <v>3.2</v>
          </cell>
          <cell r="N160">
            <v>35.200000000000003</v>
          </cell>
          <cell r="O160">
            <v>35.200000000000003</v>
          </cell>
          <cell r="P160">
            <v>35.200000000000003</v>
          </cell>
          <cell r="Q160">
            <v>36.590000000000003</v>
          </cell>
          <cell r="R160">
            <v>215.97</v>
          </cell>
          <cell r="S160">
            <v>215.97</v>
          </cell>
        </row>
        <row r="161">
          <cell r="A161" t="str">
            <v>531.41</v>
          </cell>
          <cell r="B161">
            <v>156</v>
          </cell>
          <cell r="C161" t="str">
            <v>686.35 (x0,1)</v>
          </cell>
          <cell r="D161" t="str">
            <v>WiWi</v>
          </cell>
          <cell r="E161">
            <v>200</v>
          </cell>
          <cell r="F161">
            <v>118.19</v>
          </cell>
          <cell r="G161">
            <v>1000</v>
          </cell>
          <cell r="H161">
            <v>14.9</v>
          </cell>
          <cell r="I161">
            <v>2000</v>
          </cell>
          <cell r="J161">
            <v>0</v>
          </cell>
          <cell r="K161">
            <v>0</v>
          </cell>
          <cell r="L161">
            <v>3.2</v>
          </cell>
          <cell r="M161">
            <v>3.2</v>
          </cell>
          <cell r="N161">
            <v>3.2</v>
          </cell>
          <cell r="O161">
            <v>3.2</v>
          </cell>
          <cell r="P161">
            <v>3.2</v>
          </cell>
          <cell r="Q161">
            <v>4.59</v>
          </cell>
          <cell r="R161">
            <v>4.59</v>
          </cell>
          <cell r="S161">
            <v>4.59</v>
          </cell>
        </row>
        <row r="162">
          <cell r="A162" t="str">
            <v>531.42</v>
          </cell>
          <cell r="B162">
            <v>157</v>
          </cell>
          <cell r="C162" t="str">
            <v>686.45</v>
          </cell>
          <cell r="D162" t="str">
            <v>KSW</v>
          </cell>
          <cell r="E162">
            <v>100</v>
          </cell>
          <cell r="F162">
            <v>0</v>
          </cell>
          <cell r="G162">
            <v>1200</v>
          </cell>
          <cell r="H162">
            <v>0</v>
          </cell>
          <cell r="I162">
            <v>1200</v>
          </cell>
          <cell r="J162">
            <v>0</v>
          </cell>
          <cell r="K162">
            <v>0</v>
          </cell>
          <cell r="L162">
            <v>0</v>
          </cell>
          <cell r="M162">
            <v>0</v>
          </cell>
          <cell r="N162">
            <v>0</v>
          </cell>
          <cell r="O162">
            <v>0</v>
          </cell>
          <cell r="P162">
            <v>0</v>
          </cell>
          <cell r="Q162">
            <v>0</v>
          </cell>
          <cell r="R162">
            <v>0</v>
          </cell>
          <cell r="S162">
            <v>0</v>
          </cell>
        </row>
        <row r="163">
          <cell r="A163" t="str">
            <v>531.43</v>
          </cell>
          <cell r="B163">
            <v>158</v>
          </cell>
          <cell r="C163" t="str">
            <v>686.55</v>
          </cell>
          <cell r="D163" t="str">
            <v>PSY</v>
          </cell>
          <cell r="E163">
            <v>500</v>
          </cell>
          <cell r="F163">
            <v>0</v>
          </cell>
          <cell r="G163">
            <v>400</v>
          </cell>
          <cell r="H163">
            <v>200</v>
          </cell>
          <cell r="I163">
            <v>500</v>
          </cell>
          <cell r="J163">
            <v>0</v>
          </cell>
          <cell r="K163">
            <v>0</v>
          </cell>
          <cell r="L163">
            <v>0</v>
          </cell>
          <cell r="M163">
            <v>0</v>
          </cell>
          <cell r="N163">
            <v>0</v>
          </cell>
          <cell r="O163">
            <v>0</v>
          </cell>
          <cell r="P163">
            <v>0</v>
          </cell>
          <cell r="Q163">
            <v>0</v>
          </cell>
          <cell r="R163">
            <v>0</v>
          </cell>
          <cell r="S163">
            <v>0</v>
          </cell>
        </row>
        <row r="164">
          <cell r="A164" t="str">
            <v>531.44</v>
          </cell>
          <cell r="B164">
            <v>159</v>
          </cell>
          <cell r="C164" t="str">
            <v>686.65</v>
          </cell>
          <cell r="D164" t="str">
            <v>ReWi</v>
          </cell>
          <cell r="E164">
            <v>500</v>
          </cell>
          <cell r="F164">
            <v>24</v>
          </cell>
          <cell r="G164">
            <v>500</v>
          </cell>
          <cell r="H164">
            <v>0</v>
          </cell>
          <cell r="I164">
            <v>500</v>
          </cell>
          <cell r="J164">
            <v>0</v>
          </cell>
          <cell r="K164">
            <v>0</v>
          </cell>
          <cell r="L164">
            <v>0</v>
          </cell>
          <cell r="M164">
            <v>0</v>
          </cell>
          <cell r="N164">
            <v>32</v>
          </cell>
          <cell r="O164">
            <v>32</v>
          </cell>
          <cell r="P164">
            <v>32</v>
          </cell>
          <cell r="Q164">
            <v>32</v>
          </cell>
          <cell r="R164">
            <v>32</v>
          </cell>
          <cell r="S164">
            <v>32</v>
          </cell>
        </row>
        <row r="165">
          <cell r="A165" t="str">
            <v>531.45</v>
          </cell>
          <cell r="B165">
            <v>160</v>
          </cell>
          <cell r="C165" t="str">
            <v>686.75</v>
          </cell>
          <cell r="D165" t="str">
            <v>M+I</v>
          </cell>
          <cell r="E165">
            <v>250</v>
          </cell>
          <cell r="F165">
            <v>0</v>
          </cell>
          <cell r="G165">
            <v>650</v>
          </cell>
          <cell r="H165">
            <v>0</v>
          </cell>
          <cell r="I165">
            <v>250</v>
          </cell>
          <cell r="J165">
            <v>0</v>
          </cell>
          <cell r="K165">
            <v>0</v>
          </cell>
          <cell r="L165">
            <v>0</v>
          </cell>
          <cell r="M165">
            <v>0</v>
          </cell>
          <cell r="N165">
            <v>0</v>
          </cell>
          <cell r="O165">
            <v>0</v>
          </cell>
          <cell r="P165">
            <v>0</v>
          </cell>
          <cell r="Q165">
            <v>0</v>
          </cell>
          <cell r="R165">
            <v>179.38</v>
          </cell>
          <cell r="S165">
            <v>179.38</v>
          </cell>
        </row>
        <row r="166">
          <cell r="A166" t="str">
            <v>531.50</v>
          </cell>
          <cell r="B166">
            <v>161</v>
          </cell>
          <cell r="C166" t="str">
            <v>686.25</v>
          </cell>
          <cell r="D166" t="str">
            <v>FSRK</v>
          </cell>
          <cell r="E166">
            <v>200</v>
          </cell>
          <cell r="F166">
            <v>8.98</v>
          </cell>
          <cell r="G166">
            <v>500</v>
          </cell>
          <cell r="H166">
            <v>0</v>
          </cell>
          <cell r="I166">
            <v>1500</v>
          </cell>
          <cell r="J166">
            <v>0</v>
          </cell>
          <cell r="K166">
            <v>0</v>
          </cell>
          <cell r="L166">
            <v>0</v>
          </cell>
          <cell r="M166">
            <v>159.62</v>
          </cell>
          <cell r="N166">
            <v>159.62</v>
          </cell>
          <cell r="O166">
            <v>159.62</v>
          </cell>
          <cell r="P166">
            <v>159.62</v>
          </cell>
          <cell r="Q166">
            <v>159.62</v>
          </cell>
          <cell r="R166">
            <v>159.62</v>
          </cell>
          <cell r="S166">
            <v>159.62</v>
          </cell>
        </row>
        <row r="167">
          <cell r="B167">
            <v>162</v>
          </cell>
          <cell r="H167">
            <v>0</v>
          </cell>
          <cell r="J167">
            <v>0</v>
          </cell>
          <cell r="K167">
            <v>0</v>
          </cell>
          <cell r="L167">
            <v>0</v>
          </cell>
          <cell r="M167">
            <v>0</v>
          </cell>
          <cell r="N167">
            <v>0</v>
          </cell>
          <cell r="O167">
            <v>0</v>
          </cell>
          <cell r="P167">
            <v>0</v>
          </cell>
          <cell r="Q167">
            <v>0</v>
          </cell>
          <cell r="R167">
            <v>0</v>
          </cell>
          <cell r="S167">
            <v>0</v>
          </cell>
        </row>
        <row r="168">
          <cell r="A168" t="str">
            <v>540.00</v>
          </cell>
          <cell r="B168">
            <v>163</v>
          </cell>
          <cell r="C168">
            <v>0</v>
          </cell>
          <cell r="D168" t="str">
            <v>Sprachrohr</v>
          </cell>
          <cell r="E168">
            <v>364000</v>
          </cell>
          <cell r="F168">
            <v>312651.59999999998</v>
          </cell>
          <cell r="G168">
            <v>214000</v>
          </cell>
          <cell r="H168">
            <v>560.08000000000004</v>
          </cell>
          <cell r="I168">
            <v>4000</v>
          </cell>
          <cell r="J168">
            <v>0</v>
          </cell>
          <cell r="K168">
            <v>0</v>
          </cell>
          <cell r="L168">
            <v>0</v>
          </cell>
          <cell r="M168">
            <v>252.1</v>
          </cell>
          <cell r="N168">
            <v>252.1</v>
          </cell>
          <cell r="O168">
            <v>566.98</v>
          </cell>
          <cell r="P168">
            <v>566.98</v>
          </cell>
          <cell r="Q168">
            <v>566.98</v>
          </cell>
          <cell r="R168">
            <v>785.78</v>
          </cell>
          <cell r="S168">
            <v>785.78</v>
          </cell>
        </row>
        <row r="169">
          <cell r="A169" t="str">
            <v>540.10</v>
          </cell>
          <cell r="B169">
            <v>164</v>
          </cell>
          <cell r="C169" t="str">
            <v>531.10</v>
          </cell>
          <cell r="D169" t="str">
            <v>Druckkosten Sprachrohr</v>
          </cell>
          <cell r="E169">
            <v>155000</v>
          </cell>
          <cell r="F169">
            <v>126134.02</v>
          </cell>
          <cell r="G169">
            <v>85000</v>
          </cell>
          <cell r="H169">
            <v>0</v>
          </cell>
          <cell r="I169">
            <v>0</v>
          </cell>
          <cell r="J169">
            <v>0</v>
          </cell>
          <cell r="K169">
            <v>0</v>
          </cell>
          <cell r="L169">
            <v>0</v>
          </cell>
          <cell r="M169">
            <v>0</v>
          </cell>
          <cell r="N169">
            <v>0</v>
          </cell>
          <cell r="O169">
            <v>0</v>
          </cell>
          <cell r="P169">
            <v>0</v>
          </cell>
          <cell r="Q169">
            <v>0</v>
          </cell>
          <cell r="R169">
            <v>0</v>
          </cell>
          <cell r="S169">
            <v>0</v>
          </cell>
        </row>
        <row r="170">
          <cell r="A170" t="str">
            <v>540.20</v>
          </cell>
          <cell r="B170">
            <v>165</v>
          </cell>
          <cell r="C170" t="str">
            <v>531.20</v>
          </cell>
          <cell r="D170" t="str">
            <v>Versandkosten Sprachrohr</v>
          </cell>
          <cell r="E170">
            <v>205000</v>
          </cell>
          <cell r="F170">
            <v>185309.52</v>
          </cell>
          <cell r="G170">
            <v>125000</v>
          </cell>
          <cell r="H170">
            <v>0</v>
          </cell>
          <cell r="I170">
            <v>0</v>
          </cell>
          <cell r="J170">
            <v>0</v>
          </cell>
          <cell r="K170">
            <v>0</v>
          </cell>
          <cell r="L170">
            <v>0</v>
          </cell>
          <cell r="M170">
            <v>0</v>
          </cell>
          <cell r="N170">
            <v>0</v>
          </cell>
          <cell r="O170">
            <v>0</v>
          </cell>
          <cell r="P170">
            <v>0</v>
          </cell>
          <cell r="Q170">
            <v>0</v>
          </cell>
          <cell r="R170">
            <v>0</v>
          </cell>
          <cell r="S170">
            <v>0</v>
          </cell>
        </row>
        <row r="171">
          <cell r="A171" t="str">
            <v>540.30</v>
          </cell>
          <cell r="B171">
            <v>166</v>
          </cell>
          <cell r="C171" t="str">
            <v>531.30</v>
          </cell>
          <cell r="D171" t="str">
            <v>Satz und Lektorat</v>
          </cell>
          <cell r="E171">
            <v>2000</v>
          </cell>
          <cell r="F171">
            <v>1208.06</v>
          </cell>
          <cell r="G171">
            <v>2000</v>
          </cell>
          <cell r="H171">
            <v>560.08000000000004</v>
          </cell>
          <cell r="I171">
            <v>1000</v>
          </cell>
          <cell r="J171">
            <v>0</v>
          </cell>
          <cell r="K171">
            <v>0</v>
          </cell>
          <cell r="L171">
            <v>0</v>
          </cell>
          <cell r="M171">
            <v>252.1</v>
          </cell>
          <cell r="N171">
            <v>252.1</v>
          </cell>
          <cell r="O171">
            <v>566.98</v>
          </cell>
          <cell r="P171">
            <v>566.98</v>
          </cell>
          <cell r="Q171">
            <v>566.98</v>
          </cell>
          <cell r="R171">
            <v>785.78</v>
          </cell>
          <cell r="S171">
            <v>785.78</v>
          </cell>
        </row>
        <row r="172">
          <cell r="A172" t="str">
            <v>540.60</v>
          </cell>
          <cell r="B172">
            <v>167</v>
          </cell>
          <cell r="C172" t="str">
            <v>531.40</v>
          </cell>
          <cell r="D172" t="str">
            <v>Sonstige Kosten</v>
          </cell>
          <cell r="E172">
            <v>2000</v>
          </cell>
          <cell r="F172">
            <v>0</v>
          </cell>
          <cell r="G172">
            <v>2000</v>
          </cell>
          <cell r="H172">
            <v>0</v>
          </cell>
          <cell r="I172">
            <v>3000</v>
          </cell>
          <cell r="J172">
            <v>0</v>
          </cell>
          <cell r="K172">
            <v>0</v>
          </cell>
          <cell r="L172">
            <v>0</v>
          </cell>
          <cell r="M172">
            <v>0</v>
          </cell>
          <cell r="N172">
            <v>0</v>
          </cell>
          <cell r="O172">
            <v>0</v>
          </cell>
          <cell r="P172">
            <v>0</v>
          </cell>
          <cell r="Q172">
            <v>0</v>
          </cell>
          <cell r="R172">
            <v>0</v>
          </cell>
          <cell r="S172">
            <v>0</v>
          </cell>
        </row>
        <row r="173">
          <cell r="B173">
            <v>168</v>
          </cell>
          <cell r="H173">
            <v>0</v>
          </cell>
          <cell r="J173">
            <v>0</v>
          </cell>
          <cell r="K173">
            <v>0</v>
          </cell>
          <cell r="L173">
            <v>0</v>
          </cell>
          <cell r="M173">
            <v>0</v>
          </cell>
          <cell r="N173">
            <v>0</v>
          </cell>
          <cell r="O173">
            <v>0</v>
          </cell>
          <cell r="P173">
            <v>0</v>
          </cell>
          <cell r="Q173">
            <v>0</v>
          </cell>
          <cell r="R173">
            <v>0</v>
          </cell>
          <cell r="S173">
            <v>0</v>
          </cell>
        </row>
        <row r="174">
          <cell r="A174" t="str">
            <v>550.00</v>
          </cell>
          <cell r="B174">
            <v>169</v>
          </cell>
          <cell r="C174">
            <v>0</v>
          </cell>
          <cell r="D174" t="str">
            <v>Veranstaltungen, Maßnahmen und Seminare AStA-Referate</v>
          </cell>
          <cell r="E174">
            <v>49100</v>
          </cell>
          <cell r="F174">
            <v>5988.9299999999994</v>
          </cell>
          <cell r="G174">
            <v>52910</v>
          </cell>
          <cell r="H174">
            <v>9955.7900000000009</v>
          </cell>
          <cell r="I174">
            <v>118814</v>
          </cell>
          <cell r="J174">
            <v>1105</v>
          </cell>
          <cell r="K174">
            <v>2155.1999999999998</v>
          </cell>
          <cell r="L174">
            <v>2226.1999999999998</v>
          </cell>
          <cell r="M174">
            <v>2265.1999999999998</v>
          </cell>
          <cell r="N174">
            <v>3533.2900000000004</v>
          </cell>
          <cell r="O174">
            <v>8193.33</v>
          </cell>
          <cell r="P174">
            <v>8304.33</v>
          </cell>
          <cell r="Q174">
            <v>8343.33</v>
          </cell>
          <cell r="R174">
            <v>8754.08</v>
          </cell>
          <cell r="S174">
            <v>10193.42</v>
          </cell>
        </row>
        <row r="175">
          <cell r="A175" t="str">
            <v>550.10</v>
          </cell>
          <cell r="B175">
            <v>170</v>
          </cell>
          <cell r="C175" t="str">
            <v>536.12, 538.12, 550.12 (je x0,1)</v>
          </cell>
          <cell r="D175" t="str">
            <v>Honorare Dozierende Fachseminare</v>
          </cell>
          <cell r="E175">
            <v>1150</v>
          </cell>
          <cell r="F175">
            <v>0</v>
          </cell>
          <cell r="G175">
            <v>9180</v>
          </cell>
          <cell r="H175">
            <v>129.25</v>
          </cell>
          <cell r="I175">
            <v>19390</v>
          </cell>
          <cell r="J175">
            <v>60</v>
          </cell>
          <cell r="K175">
            <v>60</v>
          </cell>
          <cell r="L175">
            <v>60</v>
          </cell>
          <cell r="M175">
            <v>60</v>
          </cell>
          <cell r="N175">
            <v>115</v>
          </cell>
          <cell r="O175">
            <v>549.88100000000009</v>
          </cell>
          <cell r="P175">
            <v>549.88100000000009</v>
          </cell>
          <cell r="Q175">
            <v>549.88100000000009</v>
          </cell>
          <cell r="R175">
            <v>549.88100000000009</v>
          </cell>
          <cell r="S175">
            <v>549.88100000000009</v>
          </cell>
        </row>
        <row r="176">
          <cell r="A176" t="str">
            <v>550.20</v>
          </cell>
          <cell r="B176">
            <v>171</v>
          </cell>
          <cell r="C176" t="str">
            <v>536.12, 538.12, 550.12 (je x0,7)</v>
          </cell>
          <cell r="D176" t="str">
            <v>Andere Honorare</v>
          </cell>
          <cell r="E176">
            <v>8050</v>
          </cell>
          <cell r="F176">
            <v>4792.2</v>
          </cell>
          <cell r="G176">
            <v>10200</v>
          </cell>
          <cell r="H176">
            <v>904.75</v>
          </cell>
          <cell r="I176">
            <v>13770</v>
          </cell>
          <cell r="J176">
            <v>420</v>
          </cell>
          <cell r="K176">
            <v>420</v>
          </cell>
          <cell r="L176">
            <v>420</v>
          </cell>
          <cell r="M176">
            <v>420</v>
          </cell>
          <cell r="N176">
            <v>805</v>
          </cell>
          <cell r="O176">
            <v>3849.1669999999999</v>
          </cell>
          <cell r="P176">
            <v>3849.1669999999999</v>
          </cell>
          <cell r="Q176">
            <v>3849.1669999999999</v>
          </cell>
          <cell r="R176">
            <v>3849.1669999999999</v>
          </cell>
          <cell r="S176">
            <v>3849.1669999999999</v>
          </cell>
        </row>
        <row r="177">
          <cell r="A177" t="str">
            <v>550.30</v>
          </cell>
          <cell r="B177">
            <v>172</v>
          </cell>
          <cell r="C177" t="str">
            <v>536.12, 538.12, 550.12 (je x0,2)</v>
          </cell>
          <cell r="D177" t="str">
            <v>Externe Reisekosten</v>
          </cell>
          <cell r="E177">
            <v>2300</v>
          </cell>
          <cell r="F177">
            <v>0</v>
          </cell>
          <cell r="G177">
            <v>3850</v>
          </cell>
          <cell r="H177">
            <v>258.5</v>
          </cell>
          <cell r="I177">
            <v>2900</v>
          </cell>
          <cell r="J177">
            <v>120</v>
          </cell>
          <cell r="K177">
            <v>120</v>
          </cell>
          <cell r="L177">
            <v>120</v>
          </cell>
          <cell r="M177">
            <v>120</v>
          </cell>
          <cell r="N177">
            <v>230</v>
          </cell>
          <cell r="O177">
            <v>1099.7620000000002</v>
          </cell>
          <cell r="P177">
            <v>1099.7620000000002</v>
          </cell>
          <cell r="Q177">
            <v>1099.7620000000002</v>
          </cell>
          <cell r="R177">
            <v>1099.7620000000002</v>
          </cell>
          <cell r="S177">
            <v>1099.7620000000002</v>
          </cell>
        </row>
        <row r="178">
          <cell r="A178" t="str">
            <v>550.40</v>
          </cell>
          <cell r="B178">
            <v>173</v>
          </cell>
          <cell r="C178" t="str">
            <v>532.10, 532.20, 532.30, 533.30, 536.15, 538.15, 550.14, 539.00</v>
          </cell>
          <cell r="D178" t="str">
            <v>Bewirtung und Repräsentation</v>
          </cell>
          <cell r="E178">
            <v>13500</v>
          </cell>
          <cell r="F178">
            <v>541</v>
          </cell>
          <cell r="G178">
            <v>10100</v>
          </cell>
          <cell r="H178">
            <v>2250.41</v>
          </cell>
          <cell r="I178">
            <v>2548</v>
          </cell>
          <cell r="J178">
            <v>466</v>
          </cell>
          <cell r="K178">
            <v>764</v>
          </cell>
          <cell r="L178">
            <v>796</v>
          </cell>
          <cell r="M178">
            <v>796</v>
          </cell>
          <cell r="N178">
            <v>1031.93</v>
          </cell>
          <cell r="O178">
            <v>775.03</v>
          </cell>
          <cell r="P178">
            <v>775.03</v>
          </cell>
          <cell r="Q178">
            <v>775.03</v>
          </cell>
          <cell r="R178">
            <v>775.03</v>
          </cell>
          <cell r="S178">
            <v>864.39</v>
          </cell>
        </row>
        <row r="179">
          <cell r="A179" t="str">
            <v>550.50</v>
          </cell>
          <cell r="B179">
            <v>174</v>
          </cell>
          <cell r="C179" t="str">
            <v>533.10, 536.13, 536.14, 538.13, 538.14, 550.15</v>
          </cell>
          <cell r="D179" t="str">
            <v>Raum und Unterkunftskosten</v>
          </cell>
          <cell r="E179">
            <v>22000</v>
          </cell>
          <cell r="F179">
            <v>468</v>
          </cell>
          <cell r="G179">
            <v>4730</v>
          </cell>
          <cell r="H179">
            <v>6246.4</v>
          </cell>
          <cell r="I179">
            <v>22791</v>
          </cell>
          <cell r="J179">
            <v>39</v>
          </cell>
          <cell r="K179">
            <v>791.2</v>
          </cell>
          <cell r="L179">
            <v>830.2</v>
          </cell>
          <cell r="M179">
            <v>869.2</v>
          </cell>
          <cell r="N179">
            <v>1351.3600000000001</v>
          </cell>
          <cell r="O179">
            <v>1919.49</v>
          </cell>
          <cell r="P179">
            <v>1958.49</v>
          </cell>
          <cell r="Q179">
            <v>1997.49</v>
          </cell>
          <cell r="R179">
            <v>2036.49</v>
          </cell>
          <cell r="S179">
            <v>3188.09</v>
          </cell>
        </row>
        <row r="180">
          <cell r="A180" t="str">
            <v>550.60</v>
          </cell>
          <cell r="B180">
            <v>175</v>
          </cell>
          <cell r="C180">
            <v>0</v>
          </cell>
          <cell r="D180" t="str">
            <v>Druckkosten</v>
          </cell>
          <cell r="E180">
            <v>0</v>
          </cell>
          <cell r="F180">
            <v>0</v>
          </cell>
          <cell r="G180">
            <v>3150</v>
          </cell>
          <cell r="H180">
            <v>0</v>
          </cell>
          <cell r="I180">
            <v>9025</v>
          </cell>
          <cell r="J180">
            <v>0</v>
          </cell>
          <cell r="K180">
            <v>0</v>
          </cell>
          <cell r="L180">
            <v>0</v>
          </cell>
          <cell r="M180">
            <v>0</v>
          </cell>
          <cell r="N180">
            <v>0</v>
          </cell>
          <cell r="O180">
            <v>0</v>
          </cell>
          <cell r="P180">
            <v>0</v>
          </cell>
          <cell r="Q180">
            <v>0</v>
          </cell>
          <cell r="R180">
            <v>0</v>
          </cell>
          <cell r="S180">
            <v>0</v>
          </cell>
        </row>
        <row r="181">
          <cell r="A181" t="str">
            <v>550.70</v>
          </cell>
          <cell r="B181">
            <v>176</v>
          </cell>
          <cell r="C181" t="str">
            <v>533.40, 550.16, 546.00</v>
          </cell>
          <cell r="D181" t="str">
            <v>Sonstige Kosten</v>
          </cell>
          <cell r="E181">
            <v>2100</v>
          </cell>
          <cell r="F181">
            <v>187.73</v>
          </cell>
          <cell r="G181">
            <v>11700</v>
          </cell>
          <cell r="H181">
            <v>166.48</v>
          </cell>
          <cell r="I181">
            <v>48390</v>
          </cell>
          <cell r="J181">
            <v>0</v>
          </cell>
          <cell r="K181">
            <v>0</v>
          </cell>
          <cell r="L181">
            <v>0</v>
          </cell>
          <cell r="M181">
            <v>0</v>
          </cell>
          <cell r="N181">
            <v>0</v>
          </cell>
          <cell r="O181">
            <v>0</v>
          </cell>
          <cell r="P181">
            <v>72</v>
          </cell>
          <cell r="Q181">
            <v>72</v>
          </cell>
          <cell r="R181">
            <v>443.75</v>
          </cell>
          <cell r="S181">
            <v>642.13</v>
          </cell>
        </row>
        <row r="182">
          <cell r="B182">
            <v>177</v>
          </cell>
          <cell r="H182">
            <v>0</v>
          </cell>
          <cell r="J182">
            <v>0</v>
          </cell>
          <cell r="K182">
            <v>0</v>
          </cell>
          <cell r="L182">
            <v>0</v>
          </cell>
          <cell r="M182">
            <v>0</v>
          </cell>
          <cell r="N182">
            <v>0</v>
          </cell>
          <cell r="O182">
            <v>0</v>
          </cell>
          <cell r="P182">
            <v>0</v>
          </cell>
          <cell r="Q182">
            <v>0</v>
          </cell>
          <cell r="R182">
            <v>0</v>
          </cell>
          <cell r="S182">
            <v>0</v>
          </cell>
        </row>
        <row r="183">
          <cell r="A183" t="str">
            <v>551.00</v>
          </cell>
          <cell r="B183">
            <v>178</v>
          </cell>
          <cell r="C183">
            <v>0</v>
          </cell>
          <cell r="D183" t="str">
            <v>Veranstaltungen, Maßnahmen und Seminare Fachschaften</v>
          </cell>
          <cell r="E183">
            <v>152900</v>
          </cell>
          <cell r="F183">
            <v>118054.28</v>
          </cell>
          <cell r="G183">
            <v>162715</v>
          </cell>
          <cell r="H183">
            <v>68750.69</v>
          </cell>
          <cell r="I183">
            <v>137090</v>
          </cell>
          <cell r="J183">
            <v>1958</v>
          </cell>
          <cell r="K183">
            <v>3198.7799999999997</v>
          </cell>
          <cell r="L183">
            <v>3986.58</v>
          </cell>
          <cell r="M183">
            <v>5082.3300000000008</v>
          </cell>
          <cell r="N183">
            <v>13850.11</v>
          </cell>
          <cell r="O183">
            <v>28184.17</v>
          </cell>
          <cell r="P183">
            <v>30859.67</v>
          </cell>
          <cell r="Q183">
            <v>37697.68</v>
          </cell>
          <cell r="R183">
            <v>42280.68</v>
          </cell>
          <cell r="S183">
            <v>43464.590000000004</v>
          </cell>
        </row>
        <row r="184">
          <cell r="A184" t="str">
            <v>551.10</v>
          </cell>
          <cell r="B184">
            <v>179</v>
          </cell>
          <cell r="C184">
            <v>0</v>
          </cell>
          <cell r="D184" t="str">
            <v>Honorare Dozierende Fachseminare</v>
          </cell>
          <cell r="E184">
            <v>96200</v>
          </cell>
          <cell r="F184">
            <v>112777.58</v>
          </cell>
          <cell r="G184">
            <v>121565</v>
          </cell>
          <cell r="H184">
            <v>44481.83</v>
          </cell>
          <cell r="I184">
            <v>108510</v>
          </cell>
          <cell r="J184">
            <v>1232</v>
          </cell>
          <cell r="K184">
            <v>1925</v>
          </cell>
          <cell r="L184">
            <v>2387</v>
          </cell>
          <cell r="M184">
            <v>2946.125</v>
          </cell>
          <cell r="N184">
            <v>8868.125</v>
          </cell>
          <cell r="O184">
            <v>18298</v>
          </cell>
          <cell r="P184">
            <v>20032.25</v>
          </cell>
          <cell r="Q184">
            <v>24671.5</v>
          </cell>
          <cell r="R184">
            <v>26866</v>
          </cell>
          <cell r="S184">
            <v>27328</v>
          </cell>
        </row>
        <row r="185">
          <cell r="A185" t="str">
            <v>551.11</v>
          </cell>
          <cell r="B185">
            <v>180</v>
          </cell>
          <cell r="C185" t="str">
            <v>686.33 (x0,7)</v>
          </cell>
          <cell r="D185" t="str">
            <v>WiWi</v>
          </cell>
          <cell r="E185">
            <v>31500</v>
          </cell>
          <cell r="F185">
            <v>41821.25</v>
          </cell>
          <cell r="G185">
            <v>45600</v>
          </cell>
          <cell r="H185">
            <v>22789.38</v>
          </cell>
          <cell r="I185">
            <v>40000</v>
          </cell>
          <cell r="J185">
            <v>0</v>
          </cell>
          <cell r="K185">
            <v>0</v>
          </cell>
          <cell r="L185">
            <v>0</v>
          </cell>
          <cell r="M185">
            <v>559.125</v>
          </cell>
          <cell r="N185">
            <v>5008.5</v>
          </cell>
          <cell r="O185">
            <v>11647.125</v>
          </cell>
          <cell r="P185">
            <v>12765.375</v>
          </cell>
          <cell r="Q185">
            <v>12765.375</v>
          </cell>
          <cell r="R185">
            <v>12765.375</v>
          </cell>
          <cell r="S185">
            <v>12765.375</v>
          </cell>
        </row>
        <row r="186">
          <cell r="A186" t="str">
            <v>551.12</v>
          </cell>
          <cell r="B186">
            <v>181</v>
          </cell>
          <cell r="C186" t="str">
            <v>686.43 (x0,7)</v>
          </cell>
          <cell r="D186" t="str">
            <v>KSW</v>
          </cell>
          <cell r="E186">
            <v>2100</v>
          </cell>
          <cell r="F186">
            <v>4544.7</v>
          </cell>
          <cell r="G186">
            <v>8510</v>
          </cell>
          <cell r="H186">
            <v>2037</v>
          </cell>
          <cell r="I186">
            <v>8510</v>
          </cell>
          <cell r="J186">
            <v>0</v>
          </cell>
          <cell r="K186">
            <v>693</v>
          </cell>
          <cell r="L186">
            <v>693</v>
          </cell>
          <cell r="M186">
            <v>693</v>
          </cell>
          <cell r="N186">
            <v>693</v>
          </cell>
          <cell r="O186">
            <v>693</v>
          </cell>
          <cell r="P186">
            <v>693</v>
          </cell>
          <cell r="Q186">
            <v>1386</v>
          </cell>
          <cell r="R186">
            <v>1847.9999999999998</v>
          </cell>
          <cell r="S186">
            <v>2310</v>
          </cell>
        </row>
        <row r="187">
          <cell r="A187" t="str">
            <v>551.13</v>
          </cell>
          <cell r="B187">
            <v>182</v>
          </cell>
          <cell r="C187" t="str">
            <v>686.53 (x0,7)</v>
          </cell>
          <cell r="D187" t="str">
            <v>PSY</v>
          </cell>
          <cell r="E187">
            <v>22000</v>
          </cell>
          <cell r="F187">
            <v>22905</v>
          </cell>
          <cell r="G187">
            <v>24540</v>
          </cell>
          <cell r="H187">
            <v>73.5</v>
          </cell>
          <cell r="I187">
            <v>23000</v>
          </cell>
          <cell r="J187">
            <v>0</v>
          </cell>
          <cell r="K187">
            <v>0</v>
          </cell>
          <cell r="L187">
            <v>0</v>
          </cell>
          <cell r="M187">
            <v>0</v>
          </cell>
          <cell r="N187">
            <v>0</v>
          </cell>
          <cell r="O187">
            <v>0</v>
          </cell>
          <cell r="P187">
            <v>0</v>
          </cell>
          <cell r="Q187">
            <v>0</v>
          </cell>
          <cell r="R187">
            <v>0</v>
          </cell>
          <cell r="S187">
            <v>0</v>
          </cell>
        </row>
        <row r="188">
          <cell r="A188" t="str">
            <v>551.14</v>
          </cell>
          <cell r="B188">
            <v>183</v>
          </cell>
          <cell r="C188" t="str">
            <v>686.63 (x0,7)</v>
          </cell>
          <cell r="D188" t="str">
            <v>ReWi</v>
          </cell>
          <cell r="E188">
            <v>29400</v>
          </cell>
          <cell r="F188">
            <v>25892.880000000001</v>
          </cell>
          <cell r="G188">
            <v>25715</v>
          </cell>
          <cell r="H188">
            <v>14884.95</v>
          </cell>
          <cell r="I188">
            <v>22000</v>
          </cell>
          <cell r="J188">
            <v>616</v>
          </cell>
          <cell r="K188">
            <v>616</v>
          </cell>
          <cell r="L188">
            <v>616</v>
          </cell>
          <cell r="M188">
            <v>616</v>
          </cell>
          <cell r="N188">
            <v>1703.625</v>
          </cell>
          <cell r="O188">
            <v>3878.8749999999995</v>
          </cell>
          <cell r="P188">
            <v>3878.8749999999995</v>
          </cell>
          <cell r="Q188">
            <v>6901.125</v>
          </cell>
          <cell r="R188">
            <v>7863.6249999999991</v>
          </cell>
          <cell r="S188">
            <v>7863.6249999999991</v>
          </cell>
        </row>
        <row r="189">
          <cell r="A189" t="str">
            <v>551.15</v>
          </cell>
          <cell r="B189">
            <v>184</v>
          </cell>
          <cell r="C189" t="str">
            <v>686.73 (x0,7)</v>
          </cell>
          <cell r="D189" t="str">
            <v>M+I</v>
          </cell>
          <cell r="E189">
            <v>11200</v>
          </cell>
          <cell r="F189">
            <v>17613.75</v>
          </cell>
          <cell r="G189">
            <v>17200</v>
          </cell>
          <cell r="H189">
            <v>4697</v>
          </cell>
          <cell r="I189">
            <v>15000</v>
          </cell>
          <cell r="J189">
            <v>616</v>
          </cell>
          <cell r="K189">
            <v>616</v>
          </cell>
          <cell r="L189">
            <v>1078</v>
          </cell>
          <cell r="M189">
            <v>1078</v>
          </cell>
          <cell r="N189">
            <v>1463</v>
          </cell>
          <cell r="O189">
            <v>2079</v>
          </cell>
          <cell r="P189">
            <v>2695</v>
          </cell>
          <cell r="Q189">
            <v>3618.9999999999995</v>
          </cell>
          <cell r="R189">
            <v>4389</v>
          </cell>
          <cell r="S189">
            <v>4389</v>
          </cell>
        </row>
        <row r="190">
          <cell r="A190" t="str">
            <v>551.20</v>
          </cell>
          <cell r="B190">
            <v>185</v>
          </cell>
          <cell r="C190">
            <v>0</v>
          </cell>
          <cell r="D190" t="str">
            <v>Andere Honorare</v>
          </cell>
          <cell r="E190">
            <v>15450</v>
          </cell>
          <cell r="F190">
            <v>0</v>
          </cell>
          <cell r="G190">
            <v>10140</v>
          </cell>
          <cell r="H190">
            <v>9531.82</v>
          </cell>
          <cell r="I190">
            <v>5640</v>
          </cell>
          <cell r="J190">
            <v>264</v>
          </cell>
          <cell r="K190">
            <v>412.5</v>
          </cell>
          <cell r="L190">
            <v>511.5</v>
          </cell>
          <cell r="M190">
            <v>631.3125</v>
          </cell>
          <cell r="N190">
            <v>1900.3125</v>
          </cell>
          <cell r="O190">
            <v>3921</v>
          </cell>
          <cell r="P190">
            <v>4292.625</v>
          </cell>
          <cell r="Q190">
            <v>5286.75</v>
          </cell>
          <cell r="R190">
            <v>5757</v>
          </cell>
          <cell r="S190">
            <v>5856</v>
          </cell>
        </row>
        <row r="191">
          <cell r="A191" t="str">
            <v>551.21</v>
          </cell>
          <cell r="B191">
            <v>186</v>
          </cell>
          <cell r="C191" t="str">
            <v>686.33 (x0,15)</v>
          </cell>
          <cell r="D191" t="str">
            <v>WiWi</v>
          </cell>
          <cell r="E191">
            <v>6750</v>
          </cell>
          <cell r="F191">
            <v>0</v>
          </cell>
          <cell r="G191">
            <v>2000</v>
          </cell>
          <cell r="H191">
            <v>4883.4399999999996</v>
          </cell>
          <cell r="I191">
            <v>1000</v>
          </cell>
          <cell r="J191">
            <v>0</v>
          </cell>
          <cell r="K191">
            <v>0</v>
          </cell>
          <cell r="L191">
            <v>0</v>
          </cell>
          <cell r="M191">
            <v>119.8125</v>
          </cell>
          <cell r="N191">
            <v>1073.25</v>
          </cell>
          <cell r="O191">
            <v>2495.8125</v>
          </cell>
          <cell r="P191">
            <v>2735.4375</v>
          </cell>
          <cell r="Q191">
            <v>2735.4375</v>
          </cell>
          <cell r="R191">
            <v>2735.4375</v>
          </cell>
          <cell r="S191">
            <v>2735.4375</v>
          </cell>
        </row>
        <row r="192">
          <cell r="A192" t="str">
            <v>551.22</v>
          </cell>
          <cell r="B192">
            <v>187</v>
          </cell>
          <cell r="C192" t="str">
            <v>686.43 (x0,15)</v>
          </cell>
          <cell r="D192" t="str">
            <v>KSW</v>
          </cell>
          <cell r="E192">
            <v>600</v>
          </cell>
          <cell r="F192">
            <v>0</v>
          </cell>
          <cell r="G192">
            <v>2640</v>
          </cell>
          <cell r="H192">
            <v>436.5</v>
          </cell>
          <cell r="I192">
            <v>2640</v>
          </cell>
          <cell r="J192">
            <v>0</v>
          </cell>
          <cell r="K192">
            <v>148.5</v>
          </cell>
          <cell r="L192">
            <v>148.5</v>
          </cell>
          <cell r="M192">
            <v>148.5</v>
          </cell>
          <cell r="N192">
            <v>148.5</v>
          </cell>
          <cell r="O192">
            <v>148.5</v>
          </cell>
          <cell r="P192">
            <v>148.5</v>
          </cell>
          <cell r="Q192">
            <v>297</v>
          </cell>
          <cell r="R192">
            <v>396</v>
          </cell>
          <cell r="S192">
            <v>495</v>
          </cell>
        </row>
        <row r="193">
          <cell r="A193" t="str">
            <v>551.23</v>
          </cell>
          <cell r="B193">
            <v>188</v>
          </cell>
          <cell r="C193" t="str">
            <v>686.53 (x0,15)</v>
          </cell>
          <cell r="D193" t="str">
            <v>PSY</v>
          </cell>
          <cell r="E193">
            <v>0</v>
          </cell>
          <cell r="F193">
            <v>0</v>
          </cell>
          <cell r="G193">
            <v>2000</v>
          </cell>
          <cell r="H193">
            <v>15.75</v>
          </cell>
          <cell r="I193">
            <v>2000</v>
          </cell>
          <cell r="J193">
            <v>0</v>
          </cell>
          <cell r="K193">
            <v>0</v>
          </cell>
          <cell r="L193">
            <v>0</v>
          </cell>
          <cell r="M193">
            <v>0</v>
          </cell>
          <cell r="N193">
            <v>0</v>
          </cell>
          <cell r="O193">
            <v>0</v>
          </cell>
          <cell r="P193">
            <v>0</v>
          </cell>
          <cell r="Q193">
            <v>0</v>
          </cell>
          <cell r="R193">
            <v>0</v>
          </cell>
          <cell r="S193">
            <v>0</v>
          </cell>
        </row>
        <row r="194">
          <cell r="A194" t="str">
            <v>551.24</v>
          </cell>
          <cell r="B194">
            <v>189</v>
          </cell>
          <cell r="C194" t="str">
            <v>686.63 (x0,15)</v>
          </cell>
          <cell r="D194" t="str">
            <v>ReWi</v>
          </cell>
          <cell r="E194">
            <v>6300</v>
          </cell>
          <cell r="F194">
            <v>0</v>
          </cell>
          <cell r="G194">
            <v>2500</v>
          </cell>
          <cell r="H194">
            <v>3189.63</v>
          </cell>
          <cell r="I194">
            <v>0</v>
          </cell>
          <cell r="J194">
            <v>132</v>
          </cell>
          <cell r="K194">
            <v>132</v>
          </cell>
          <cell r="L194">
            <v>132</v>
          </cell>
          <cell r="M194">
            <v>132</v>
          </cell>
          <cell r="N194">
            <v>365.0625</v>
          </cell>
          <cell r="O194">
            <v>831.1875</v>
          </cell>
          <cell r="P194">
            <v>831.1875</v>
          </cell>
          <cell r="Q194">
            <v>1478.8125</v>
          </cell>
          <cell r="R194">
            <v>1685.0625</v>
          </cell>
          <cell r="S194">
            <v>1685.0625</v>
          </cell>
        </row>
        <row r="195">
          <cell r="A195" t="str">
            <v>551.25</v>
          </cell>
          <cell r="B195">
            <v>190</v>
          </cell>
          <cell r="C195" t="str">
            <v>686.73 (x0,15)</v>
          </cell>
          <cell r="D195" t="str">
            <v>M+I</v>
          </cell>
          <cell r="E195">
            <v>1800</v>
          </cell>
          <cell r="F195">
            <v>0</v>
          </cell>
          <cell r="G195">
            <v>1000</v>
          </cell>
          <cell r="H195">
            <v>1006.5</v>
          </cell>
          <cell r="I195">
            <v>0</v>
          </cell>
          <cell r="J195">
            <v>132</v>
          </cell>
          <cell r="K195">
            <v>132</v>
          </cell>
          <cell r="L195">
            <v>231</v>
          </cell>
          <cell r="M195">
            <v>231</v>
          </cell>
          <cell r="N195">
            <v>313.5</v>
          </cell>
          <cell r="O195">
            <v>445.5</v>
          </cell>
          <cell r="P195">
            <v>577.5</v>
          </cell>
          <cell r="Q195">
            <v>775.5</v>
          </cell>
          <cell r="R195">
            <v>940.5</v>
          </cell>
          <cell r="S195">
            <v>940.5</v>
          </cell>
        </row>
        <row r="196">
          <cell r="A196" t="str">
            <v>551.30</v>
          </cell>
          <cell r="B196">
            <v>191</v>
          </cell>
          <cell r="C196">
            <v>0</v>
          </cell>
          <cell r="D196" t="str">
            <v>Externe Reisekosten</v>
          </cell>
          <cell r="E196">
            <v>16350</v>
          </cell>
          <cell r="F196">
            <v>0</v>
          </cell>
          <cell r="G196">
            <v>2000</v>
          </cell>
          <cell r="H196">
            <v>9531.82</v>
          </cell>
          <cell r="I196">
            <v>1100</v>
          </cell>
          <cell r="J196">
            <v>264</v>
          </cell>
          <cell r="K196">
            <v>412.5</v>
          </cell>
          <cell r="L196">
            <v>511.5</v>
          </cell>
          <cell r="M196">
            <v>631.3125</v>
          </cell>
          <cell r="N196">
            <v>1900.3125</v>
          </cell>
          <cell r="O196">
            <v>3921</v>
          </cell>
          <cell r="P196">
            <v>4292.625</v>
          </cell>
          <cell r="Q196">
            <v>5286.75</v>
          </cell>
          <cell r="R196">
            <v>5757</v>
          </cell>
          <cell r="S196">
            <v>5856</v>
          </cell>
        </row>
        <row r="197">
          <cell r="A197" t="str">
            <v>551.31</v>
          </cell>
          <cell r="B197">
            <v>192</v>
          </cell>
          <cell r="C197" t="str">
            <v>686.33 (x0,15)</v>
          </cell>
          <cell r="D197" t="str">
            <v>WiWi</v>
          </cell>
          <cell r="E197">
            <v>6750</v>
          </cell>
          <cell r="F197">
            <v>0</v>
          </cell>
          <cell r="G197">
            <v>1100</v>
          </cell>
          <cell r="H197">
            <v>4883.4399999999996</v>
          </cell>
          <cell r="I197">
            <v>500</v>
          </cell>
          <cell r="J197">
            <v>0</v>
          </cell>
          <cell r="K197">
            <v>0</v>
          </cell>
          <cell r="L197">
            <v>0</v>
          </cell>
          <cell r="M197">
            <v>119.8125</v>
          </cell>
          <cell r="N197">
            <v>1073.25</v>
          </cell>
          <cell r="O197">
            <v>2495.8125</v>
          </cell>
          <cell r="P197">
            <v>2735.4375</v>
          </cell>
          <cell r="Q197">
            <v>2735.4375</v>
          </cell>
          <cell r="R197">
            <v>2735.4375</v>
          </cell>
          <cell r="S197">
            <v>2735.4375</v>
          </cell>
        </row>
        <row r="198">
          <cell r="A198" t="str">
            <v>551.32</v>
          </cell>
          <cell r="B198">
            <v>193</v>
          </cell>
          <cell r="C198" t="str">
            <v>686.43 (x0,15)</v>
          </cell>
          <cell r="D198" t="str">
            <v>KSW</v>
          </cell>
          <cell r="E198">
            <v>300</v>
          </cell>
          <cell r="F198">
            <v>0</v>
          </cell>
          <cell r="G198">
            <v>100</v>
          </cell>
          <cell r="H198">
            <v>436.5</v>
          </cell>
          <cell r="I198">
            <v>100</v>
          </cell>
          <cell r="J198">
            <v>0</v>
          </cell>
          <cell r="K198">
            <v>148.5</v>
          </cell>
          <cell r="L198">
            <v>148.5</v>
          </cell>
          <cell r="M198">
            <v>148.5</v>
          </cell>
          <cell r="N198">
            <v>148.5</v>
          </cell>
          <cell r="O198">
            <v>148.5</v>
          </cell>
          <cell r="P198">
            <v>148.5</v>
          </cell>
          <cell r="Q198">
            <v>297</v>
          </cell>
          <cell r="R198">
            <v>396</v>
          </cell>
          <cell r="S198">
            <v>495</v>
          </cell>
        </row>
        <row r="199">
          <cell r="A199" t="str">
            <v>551.33</v>
          </cell>
          <cell r="B199">
            <v>194</v>
          </cell>
          <cell r="C199" t="str">
            <v>686.53 (x0,15)</v>
          </cell>
          <cell r="D199" t="str">
            <v>PSY</v>
          </cell>
          <cell r="E199">
            <v>1000</v>
          </cell>
          <cell r="F199">
            <v>0</v>
          </cell>
          <cell r="G199">
            <v>100</v>
          </cell>
          <cell r="H199">
            <v>15.75</v>
          </cell>
          <cell r="I199">
            <v>500</v>
          </cell>
          <cell r="J199">
            <v>0</v>
          </cell>
          <cell r="K199">
            <v>0</v>
          </cell>
          <cell r="L199">
            <v>0</v>
          </cell>
          <cell r="M199">
            <v>0</v>
          </cell>
          <cell r="N199">
            <v>0</v>
          </cell>
          <cell r="O199">
            <v>0</v>
          </cell>
          <cell r="P199">
            <v>0</v>
          </cell>
          <cell r="Q199">
            <v>0</v>
          </cell>
          <cell r="R199">
            <v>0</v>
          </cell>
          <cell r="S199">
            <v>0</v>
          </cell>
        </row>
        <row r="200">
          <cell r="A200" t="str">
            <v>551.34</v>
          </cell>
          <cell r="B200">
            <v>195</v>
          </cell>
          <cell r="C200" t="str">
            <v>686.63 (x0,15)</v>
          </cell>
          <cell r="D200" t="str">
            <v>ReWi</v>
          </cell>
          <cell r="E200">
            <v>6300</v>
          </cell>
          <cell r="F200">
            <v>0</v>
          </cell>
          <cell r="G200">
            <v>500</v>
          </cell>
          <cell r="H200">
            <v>3189.63</v>
          </cell>
          <cell r="I200">
            <v>0</v>
          </cell>
          <cell r="J200">
            <v>132</v>
          </cell>
          <cell r="K200">
            <v>132</v>
          </cell>
          <cell r="L200">
            <v>132</v>
          </cell>
          <cell r="M200">
            <v>132</v>
          </cell>
          <cell r="N200">
            <v>365.0625</v>
          </cell>
          <cell r="O200">
            <v>831.1875</v>
          </cell>
          <cell r="P200">
            <v>831.1875</v>
          </cell>
          <cell r="Q200">
            <v>1478.8125</v>
          </cell>
          <cell r="R200">
            <v>1685.0625</v>
          </cell>
          <cell r="S200">
            <v>1685.0625</v>
          </cell>
        </row>
        <row r="201">
          <cell r="A201" t="str">
            <v>551.35</v>
          </cell>
          <cell r="B201">
            <v>196</v>
          </cell>
          <cell r="C201" t="str">
            <v>686.73 (x0,15)</v>
          </cell>
          <cell r="D201" t="str">
            <v>M+I</v>
          </cell>
          <cell r="E201">
            <v>2000</v>
          </cell>
          <cell r="F201">
            <v>0</v>
          </cell>
          <cell r="G201">
            <v>200</v>
          </cell>
          <cell r="H201">
            <v>1006.5</v>
          </cell>
          <cell r="I201">
            <v>0</v>
          </cell>
          <cell r="J201">
            <v>132</v>
          </cell>
          <cell r="K201">
            <v>132</v>
          </cell>
          <cell r="L201">
            <v>231</v>
          </cell>
          <cell r="M201">
            <v>231</v>
          </cell>
          <cell r="N201">
            <v>313.5</v>
          </cell>
          <cell r="O201">
            <v>445.5</v>
          </cell>
          <cell r="P201">
            <v>577.5</v>
          </cell>
          <cell r="Q201">
            <v>775.5</v>
          </cell>
          <cell r="R201">
            <v>940.5</v>
          </cell>
          <cell r="S201">
            <v>940.5</v>
          </cell>
        </row>
        <row r="202">
          <cell r="A202" t="str">
            <v>551.40</v>
          </cell>
          <cell r="B202">
            <v>197</v>
          </cell>
          <cell r="C202">
            <v>0</v>
          </cell>
          <cell r="D202" t="str">
            <v>Bewirtung und Repräsentation extern</v>
          </cell>
          <cell r="E202">
            <v>2900</v>
          </cell>
          <cell r="F202">
            <v>0</v>
          </cell>
          <cell r="G202">
            <v>3040</v>
          </cell>
          <cell r="H202">
            <v>134.06</v>
          </cell>
          <cell r="I202">
            <v>1290</v>
          </cell>
          <cell r="J202">
            <v>0</v>
          </cell>
          <cell r="K202">
            <v>0</v>
          </cell>
          <cell r="L202">
            <v>28.8</v>
          </cell>
          <cell r="M202">
            <v>28.8</v>
          </cell>
          <cell r="N202">
            <v>28.8</v>
          </cell>
          <cell r="O202">
            <v>28.8</v>
          </cell>
          <cell r="P202">
            <v>28.8</v>
          </cell>
          <cell r="Q202">
            <v>41.31</v>
          </cell>
          <cell r="R202">
            <v>41.31</v>
          </cell>
          <cell r="S202">
            <v>41.31</v>
          </cell>
        </row>
        <row r="203">
          <cell r="A203" t="str">
            <v>551.41</v>
          </cell>
          <cell r="B203">
            <v>198</v>
          </cell>
          <cell r="C203" t="str">
            <v>686.35 (x0,9), 686.37</v>
          </cell>
          <cell r="D203" t="str">
            <v>WiWi</v>
          </cell>
          <cell r="E203">
            <v>2100</v>
          </cell>
          <cell r="F203">
            <v>0</v>
          </cell>
          <cell r="G203">
            <v>1500</v>
          </cell>
          <cell r="H203">
            <v>134.06</v>
          </cell>
          <cell r="I203">
            <v>500</v>
          </cell>
          <cell r="J203">
            <v>0</v>
          </cell>
          <cell r="K203">
            <v>0</v>
          </cell>
          <cell r="L203">
            <v>28.8</v>
          </cell>
          <cell r="M203">
            <v>28.8</v>
          </cell>
          <cell r="N203">
            <v>28.8</v>
          </cell>
          <cell r="O203">
            <v>28.8</v>
          </cell>
          <cell r="P203">
            <v>28.8</v>
          </cell>
          <cell r="Q203">
            <v>41.31</v>
          </cell>
          <cell r="R203">
            <v>41.31</v>
          </cell>
          <cell r="S203">
            <v>41.31</v>
          </cell>
        </row>
        <row r="204">
          <cell r="A204" t="str">
            <v>551.42</v>
          </cell>
          <cell r="B204">
            <v>199</v>
          </cell>
          <cell r="C204" t="str">
            <v>686.47</v>
          </cell>
          <cell r="D204" t="str">
            <v>KSW</v>
          </cell>
          <cell r="E204">
            <v>100</v>
          </cell>
          <cell r="F204">
            <v>0</v>
          </cell>
          <cell r="G204">
            <v>340</v>
          </cell>
          <cell r="H204">
            <v>0</v>
          </cell>
          <cell r="I204">
            <v>340</v>
          </cell>
          <cell r="J204">
            <v>0</v>
          </cell>
          <cell r="K204">
            <v>0</v>
          </cell>
          <cell r="L204">
            <v>0</v>
          </cell>
          <cell r="M204">
            <v>0</v>
          </cell>
          <cell r="N204">
            <v>0</v>
          </cell>
          <cell r="O204">
            <v>0</v>
          </cell>
          <cell r="P204">
            <v>0</v>
          </cell>
          <cell r="Q204">
            <v>0</v>
          </cell>
          <cell r="R204">
            <v>0</v>
          </cell>
          <cell r="S204">
            <v>0</v>
          </cell>
        </row>
        <row r="205">
          <cell r="A205" t="str">
            <v>551.43</v>
          </cell>
          <cell r="B205">
            <v>200</v>
          </cell>
          <cell r="C205" t="str">
            <v>686.57</v>
          </cell>
          <cell r="D205" t="str">
            <v>PSY</v>
          </cell>
          <cell r="E205">
            <v>200</v>
          </cell>
          <cell r="F205">
            <v>0</v>
          </cell>
          <cell r="G205">
            <v>500</v>
          </cell>
          <cell r="H205">
            <v>0</v>
          </cell>
          <cell r="I205">
            <v>200</v>
          </cell>
          <cell r="J205">
            <v>0</v>
          </cell>
          <cell r="K205">
            <v>0</v>
          </cell>
          <cell r="L205">
            <v>0</v>
          </cell>
          <cell r="M205">
            <v>0</v>
          </cell>
          <cell r="N205">
            <v>0</v>
          </cell>
          <cell r="O205">
            <v>0</v>
          </cell>
          <cell r="P205">
            <v>0</v>
          </cell>
          <cell r="Q205">
            <v>0</v>
          </cell>
          <cell r="R205">
            <v>0</v>
          </cell>
          <cell r="S205">
            <v>0</v>
          </cell>
        </row>
        <row r="206">
          <cell r="A206" t="str">
            <v>551.44</v>
          </cell>
          <cell r="B206">
            <v>201</v>
          </cell>
          <cell r="C206" t="str">
            <v>686.67</v>
          </cell>
          <cell r="D206" t="str">
            <v>ReWi</v>
          </cell>
          <cell r="E206">
            <v>300</v>
          </cell>
          <cell r="F206">
            <v>0</v>
          </cell>
          <cell r="G206">
            <v>450</v>
          </cell>
          <cell r="H206">
            <v>0</v>
          </cell>
          <cell r="I206">
            <v>0</v>
          </cell>
          <cell r="J206">
            <v>0</v>
          </cell>
          <cell r="K206">
            <v>0</v>
          </cell>
          <cell r="L206">
            <v>0</v>
          </cell>
          <cell r="M206">
            <v>0</v>
          </cell>
          <cell r="N206">
            <v>0</v>
          </cell>
          <cell r="O206">
            <v>0</v>
          </cell>
          <cell r="P206">
            <v>0</v>
          </cell>
          <cell r="Q206">
            <v>0</v>
          </cell>
          <cell r="R206">
            <v>0</v>
          </cell>
          <cell r="S206">
            <v>0</v>
          </cell>
        </row>
        <row r="207">
          <cell r="A207" t="str">
            <v>551.45</v>
          </cell>
          <cell r="B207">
            <v>202</v>
          </cell>
          <cell r="C207" t="str">
            <v>686.77</v>
          </cell>
          <cell r="D207" t="str">
            <v>M+I</v>
          </cell>
          <cell r="E207">
            <v>200</v>
          </cell>
          <cell r="F207">
            <v>0</v>
          </cell>
          <cell r="G207">
            <v>250</v>
          </cell>
          <cell r="H207">
            <v>0</v>
          </cell>
          <cell r="I207">
            <v>250</v>
          </cell>
          <cell r="J207">
            <v>0</v>
          </cell>
          <cell r="K207">
            <v>0</v>
          </cell>
          <cell r="L207">
            <v>0</v>
          </cell>
          <cell r="M207">
            <v>0</v>
          </cell>
          <cell r="N207">
            <v>0</v>
          </cell>
          <cell r="O207">
            <v>0</v>
          </cell>
          <cell r="P207">
            <v>0</v>
          </cell>
          <cell r="Q207">
            <v>0</v>
          </cell>
          <cell r="R207">
            <v>0</v>
          </cell>
          <cell r="S207">
            <v>0</v>
          </cell>
        </row>
        <row r="208">
          <cell r="A208" t="str">
            <v>551.50</v>
          </cell>
          <cell r="B208">
            <v>203</v>
          </cell>
          <cell r="C208">
            <v>0</v>
          </cell>
          <cell r="D208" t="str">
            <v>Raum- und Unterkunftskosten extern</v>
          </cell>
          <cell r="E208">
            <v>12000</v>
          </cell>
          <cell r="F208">
            <v>0</v>
          </cell>
          <cell r="G208">
            <v>4300</v>
          </cell>
          <cell r="H208">
            <v>160</v>
          </cell>
          <cell r="I208">
            <v>7250</v>
          </cell>
          <cell r="J208">
            <v>0</v>
          </cell>
          <cell r="K208">
            <v>0</v>
          </cell>
          <cell r="L208">
            <v>0</v>
          </cell>
          <cell r="M208">
            <v>0</v>
          </cell>
          <cell r="N208">
            <v>0</v>
          </cell>
          <cell r="O208">
            <v>0</v>
          </cell>
          <cell r="P208">
            <v>0</v>
          </cell>
          <cell r="Q208">
            <v>0</v>
          </cell>
          <cell r="R208">
            <v>0</v>
          </cell>
          <cell r="S208">
            <v>0</v>
          </cell>
        </row>
        <row r="209">
          <cell r="A209" t="str">
            <v>551.51</v>
          </cell>
          <cell r="B209">
            <v>204</v>
          </cell>
          <cell r="C209" t="str">
            <v>686.36</v>
          </cell>
          <cell r="D209" t="str">
            <v>WiWi</v>
          </cell>
          <cell r="E209">
            <v>4000</v>
          </cell>
          <cell r="F209">
            <v>0</v>
          </cell>
          <cell r="G209">
            <v>3000</v>
          </cell>
          <cell r="H209">
            <v>0</v>
          </cell>
          <cell r="I209">
            <v>500</v>
          </cell>
          <cell r="J209">
            <v>0</v>
          </cell>
          <cell r="K209">
            <v>0</v>
          </cell>
          <cell r="L209">
            <v>0</v>
          </cell>
          <cell r="M209">
            <v>0</v>
          </cell>
          <cell r="N209">
            <v>0</v>
          </cell>
          <cell r="O209">
            <v>0</v>
          </cell>
          <cell r="P209">
            <v>0</v>
          </cell>
          <cell r="Q209">
            <v>0</v>
          </cell>
          <cell r="R209">
            <v>0</v>
          </cell>
          <cell r="S209">
            <v>0</v>
          </cell>
        </row>
        <row r="210">
          <cell r="A210" t="str">
            <v>551.52</v>
          </cell>
          <cell r="B210">
            <v>205</v>
          </cell>
          <cell r="C210" t="str">
            <v>686.46</v>
          </cell>
          <cell r="D210" t="str">
            <v>KSW</v>
          </cell>
          <cell r="E210">
            <v>500</v>
          </cell>
          <cell r="F210">
            <v>0</v>
          </cell>
          <cell r="G210">
            <v>200</v>
          </cell>
          <cell r="H210">
            <v>0</v>
          </cell>
          <cell r="I210">
            <v>4500</v>
          </cell>
          <cell r="J210">
            <v>0</v>
          </cell>
          <cell r="K210">
            <v>0</v>
          </cell>
          <cell r="L210">
            <v>0</v>
          </cell>
          <cell r="M210">
            <v>0</v>
          </cell>
          <cell r="N210">
            <v>0</v>
          </cell>
          <cell r="O210">
            <v>0</v>
          </cell>
          <cell r="P210">
            <v>0</v>
          </cell>
          <cell r="Q210">
            <v>0</v>
          </cell>
          <cell r="R210">
            <v>0</v>
          </cell>
          <cell r="S210">
            <v>0</v>
          </cell>
        </row>
        <row r="211">
          <cell r="A211" t="str">
            <v>551.53</v>
          </cell>
          <cell r="B211">
            <v>206</v>
          </cell>
          <cell r="C211" t="str">
            <v>686.56</v>
          </cell>
          <cell r="D211" t="str">
            <v>PSY</v>
          </cell>
          <cell r="E211">
            <v>2000</v>
          </cell>
          <cell r="F211">
            <v>0</v>
          </cell>
          <cell r="G211">
            <v>600</v>
          </cell>
          <cell r="H211">
            <v>0</v>
          </cell>
          <cell r="I211">
            <v>500</v>
          </cell>
          <cell r="J211">
            <v>0</v>
          </cell>
          <cell r="K211">
            <v>0</v>
          </cell>
          <cell r="L211">
            <v>0</v>
          </cell>
          <cell r="M211">
            <v>0</v>
          </cell>
          <cell r="N211">
            <v>0</v>
          </cell>
          <cell r="O211">
            <v>0</v>
          </cell>
          <cell r="P211">
            <v>0</v>
          </cell>
          <cell r="Q211">
            <v>0</v>
          </cell>
          <cell r="R211">
            <v>0</v>
          </cell>
          <cell r="S211">
            <v>0</v>
          </cell>
        </row>
        <row r="212">
          <cell r="A212" t="str">
            <v>551.54</v>
          </cell>
          <cell r="B212">
            <v>207</v>
          </cell>
          <cell r="C212" t="str">
            <v>686.66</v>
          </cell>
          <cell r="D212" t="str">
            <v>ReWi</v>
          </cell>
          <cell r="E212">
            <v>4000</v>
          </cell>
          <cell r="F212">
            <v>0</v>
          </cell>
          <cell r="G212">
            <v>400</v>
          </cell>
          <cell r="H212">
            <v>0</v>
          </cell>
          <cell r="I212">
            <v>1500</v>
          </cell>
          <cell r="J212">
            <v>0</v>
          </cell>
          <cell r="K212">
            <v>0</v>
          </cell>
          <cell r="L212">
            <v>0</v>
          </cell>
          <cell r="M212">
            <v>0</v>
          </cell>
          <cell r="N212">
            <v>0</v>
          </cell>
          <cell r="O212">
            <v>0</v>
          </cell>
          <cell r="P212">
            <v>0</v>
          </cell>
          <cell r="Q212">
            <v>0</v>
          </cell>
          <cell r="R212">
            <v>0</v>
          </cell>
          <cell r="S212">
            <v>0</v>
          </cell>
        </row>
        <row r="213">
          <cell r="A213" t="str">
            <v>551.55</v>
          </cell>
          <cell r="B213">
            <v>208</v>
          </cell>
          <cell r="C213" t="str">
            <v>686.76</v>
          </cell>
          <cell r="D213" t="str">
            <v>M+I</v>
          </cell>
          <cell r="E213">
            <v>1500</v>
          </cell>
          <cell r="F213">
            <v>0</v>
          </cell>
          <cell r="G213">
            <v>100</v>
          </cell>
          <cell r="H213">
            <v>160</v>
          </cell>
          <cell r="I213">
            <v>250</v>
          </cell>
          <cell r="J213">
            <v>0</v>
          </cell>
          <cell r="K213">
            <v>0</v>
          </cell>
          <cell r="L213">
            <v>0</v>
          </cell>
          <cell r="M213">
            <v>0</v>
          </cell>
          <cell r="N213">
            <v>0</v>
          </cell>
          <cell r="O213">
            <v>0</v>
          </cell>
          <cell r="P213">
            <v>0</v>
          </cell>
          <cell r="Q213">
            <v>0</v>
          </cell>
          <cell r="R213">
            <v>0</v>
          </cell>
          <cell r="S213">
            <v>0</v>
          </cell>
        </row>
        <row r="214">
          <cell r="A214" t="str">
            <v>551.60</v>
          </cell>
          <cell r="B214">
            <v>209</v>
          </cell>
          <cell r="C214">
            <v>0</v>
          </cell>
          <cell r="D214" t="str">
            <v>Druckkosten</v>
          </cell>
          <cell r="E214">
            <v>0</v>
          </cell>
          <cell r="F214">
            <v>5276.7</v>
          </cell>
          <cell r="G214">
            <v>10720</v>
          </cell>
          <cell r="H214">
            <v>491.12</v>
          </cell>
          <cell r="I214">
            <v>5000</v>
          </cell>
          <cell r="J214">
            <v>19.8</v>
          </cell>
          <cell r="K214">
            <v>44.878</v>
          </cell>
          <cell r="L214">
            <v>54.778000000000006</v>
          </cell>
          <cell r="M214">
            <v>84.478000000000009</v>
          </cell>
          <cell r="N214">
            <v>115.256</v>
          </cell>
          <cell r="O214">
            <v>201.53700000000003</v>
          </cell>
          <cell r="P214">
            <v>221.33699999999999</v>
          </cell>
          <cell r="Q214">
            <v>241.137</v>
          </cell>
          <cell r="R214">
            <v>385.93700000000001</v>
          </cell>
          <cell r="S214">
            <v>438.32800000000003</v>
          </cell>
        </row>
        <row r="215">
          <cell r="A215" t="str">
            <v>551.61</v>
          </cell>
          <cell r="B215">
            <v>210</v>
          </cell>
          <cell r="C215" t="str">
            <v>686.38 (x0,1)</v>
          </cell>
          <cell r="D215" t="str">
            <v>WiWi</v>
          </cell>
          <cell r="E215">
            <v>0</v>
          </cell>
          <cell r="F215">
            <v>2507.77</v>
          </cell>
          <cell r="G215">
            <v>4000</v>
          </cell>
          <cell r="H215">
            <v>241.4</v>
          </cell>
          <cell r="I215">
            <v>3500</v>
          </cell>
          <cell r="J215">
            <v>9.9</v>
          </cell>
          <cell r="K215">
            <v>19.8</v>
          </cell>
          <cell r="L215">
            <v>29.700000000000003</v>
          </cell>
          <cell r="M215">
            <v>39.6</v>
          </cell>
          <cell r="N215">
            <v>55.046000000000006</v>
          </cell>
          <cell r="O215">
            <v>97.77300000000001</v>
          </cell>
          <cell r="P215">
            <v>107.673</v>
          </cell>
          <cell r="Q215">
            <v>117.57300000000001</v>
          </cell>
          <cell r="R215">
            <v>202.47300000000001</v>
          </cell>
          <cell r="S215">
            <v>212.37300000000002</v>
          </cell>
        </row>
        <row r="216">
          <cell r="A216" t="str">
            <v>551.62</v>
          </cell>
          <cell r="B216">
            <v>211</v>
          </cell>
          <cell r="C216" t="str">
            <v>686.48 (x0,1)</v>
          </cell>
          <cell r="D216" t="str">
            <v>KSW</v>
          </cell>
          <cell r="E216">
            <v>0</v>
          </cell>
          <cell r="F216">
            <v>30</v>
          </cell>
          <cell r="G216">
            <v>1500</v>
          </cell>
          <cell r="H216">
            <v>24</v>
          </cell>
          <cell r="I216">
            <v>1500</v>
          </cell>
          <cell r="J216">
            <v>0</v>
          </cell>
          <cell r="K216">
            <v>5.2780000000000005</v>
          </cell>
          <cell r="L216">
            <v>5.2780000000000005</v>
          </cell>
          <cell r="M216">
            <v>5.2780000000000005</v>
          </cell>
          <cell r="N216">
            <v>7.9939999999999998</v>
          </cell>
          <cell r="O216">
            <v>23.821000000000002</v>
          </cell>
          <cell r="P216">
            <v>23.821000000000002</v>
          </cell>
          <cell r="Q216">
            <v>23.821000000000002</v>
          </cell>
          <cell r="R216">
            <v>23.821000000000002</v>
          </cell>
          <cell r="S216">
            <v>23.821000000000002</v>
          </cell>
        </row>
        <row r="217">
          <cell r="A217" t="str">
            <v>551.63</v>
          </cell>
          <cell r="B217">
            <v>212</v>
          </cell>
          <cell r="C217" t="str">
            <v>686.58 (x0,1)</v>
          </cell>
          <cell r="D217" t="str">
            <v>PSY</v>
          </cell>
          <cell r="E217">
            <v>0</v>
          </cell>
          <cell r="F217">
            <v>30</v>
          </cell>
          <cell r="G217">
            <v>2620</v>
          </cell>
          <cell r="H217">
            <v>3</v>
          </cell>
          <cell r="I217">
            <v>0</v>
          </cell>
          <cell r="J217">
            <v>0</v>
          </cell>
          <cell r="K217">
            <v>0</v>
          </cell>
          <cell r="L217">
            <v>0</v>
          </cell>
          <cell r="M217">
            <v>0</v>
          </cell>
          <cell r="N217">
            <v>0</v>
          </cell>
          <cell r="O217">
            <v>0</v>
          </cell>
          <cell r="P217">
            <v>0</v>
          </cell>
          <cell r="Q217">
            <v>0</v>
          </cell>
          <cell r="R217">
            <v>0</v>
          </cell>
          <cell r="S217">
            <v>0</v>
          </cell>
        </row>
        <row r="218">
          <cell r="A218" t="str">
            <v>551.64</v>
          </cell>
          <cell r="B218">
            <v>213</v>
          </cell>
          <cell r="C218" t="str">
            <v>686.68 (x0,1)</v>
          </cell>
          <cell r="D218" t="str">
            <v>ReWi</v>
          </cell>
          <cell r="E218">
            <v>0</v>
          </cell>
          <cell r="F218">
            <v>2559.1</v>
          </cell>
          <cell r="G218">
            <v>1700</v>
          </cell>
          <cell r="H218">
            <v>214.36</v>
          </cell>
          <cell r="I218">
            <v>0</v>
          </cell>
          <cell r="J218">
            <v>9.9</v>
          </cell>
          <cell r="K218">
            <v>19.8</v>
          </cell>
          <cell r="L218">
            <v>19.8</v>
          </cell>
          <cell r="M218">
            <v>39.6</v>
          </cell>
          <cell r="N218">
            <v>49.5</v>
          </cell>
          <cell r="O218">
            <v>61.400000000000006</v>
          </cell>
          <cell r="P218">
            <v>71.3</v>
          </cell>
          <cell r="Q218">
            <v>81.2</v>
          </cell>
          <cell r="R218">
            <v>141.1</v>
          </cell>
          <cell r="S218">
            <v>183.59100000000001</v>
          </cell>
        </row>
        <row r="219">
          <cell r="A219" t="str">
            <v>551.65</v>
          </cell>
          <cell r="B219">
            <v>214</v>
          </cell>
          <cell r="C219" t="str">
            <v>686.78 (x0,1)</v>
          </cell>
          <cell r="D219" t="str">
            <v>M+I</v>
          </cell>
          <cell r="E219">
            <v>0</v>
          </cell>
          <cell r="F219">
            <v>149.83000000000001</v>
          </cell>
          <cell r="G219">
            <v>900</v>
          </cell>
          <cell r="H219">
            <v>8.36</v>
          </cell>
          <cell r="I219">
            <v>0</v>
          </cell>
          <cell r="J219">
            <v>0</v>
          </cell>
          <cell r="K219">
            <v>0</v>
          </cell>
          <cell r="L219">
            <v>0</v>
          </cell>
          <cell r="M219">
            <v>0</v>
          </cell>
          <cell r="N219">
            <v>2.7160000000000002</v>
          </cell>
          <cell r="O219">
            <v>18.543000000000003</v>
          </cell>
          <cell r="P219">
            <v>18.543000000000003</v>
          </cell>
          <cell r="Q219">
            <v>18.543000000000003</v>
          </cell>
          <cell r="R219">
            <v>18.543000000000003</v>
          </cell>
          <cell r="S219">
            <v>18.543000000000003</v>
          </cell>
        </row>
        <row r="220">
          <cell r="A220" t="str">
            <v>551.70</v>
          </cell>
          <cell r="B220">
            <v>215</v>
          </cell>
          <cell r="C220">
            <v>0</v>
          </cell>
          <cell r="D220" t="str">
            <v>Sonstige Kosten (Lizenzen, Allg. Geschäftsbetrieb)</v>
          </cell>
          <cell r="E220">
            <v>10000</v>
          </cell>
          <cell r="F220">
            <v>0</v>
          </cell>
          <cell r="G220">
            <v>10950</v>
          </cell>
          <cell r="H220">
            <v>4420.04</v>
          </cell>
          <cell r="I220">
            <v>8300</v>
          </cell>
          <cell r="J220">
            <v>178.20000000000002</v>
          </cell>
          <cell r="K220">
            <v>403.90200000000004</v>
          </cell>
          <cell r="L220">
            <v>493.00200000000007</v>
          </cell>
          <cell r="M220">
            <v>760.30200000000013</v>
          </cell>
          <cell r="N220">
            <v>1037.3040000000001</v>
          </cell>
          <cell r="O220">
            <v>1813.8329999999999</v>
          </cell>
          <cell r="P220">
            <v>1992.0329999999999</v>
          </cell>
          <cell r="Q220">
            <v>2170.2330000000006</v>
          </cell>
          <cell r="R220">
            <v>3473.4330000000004</v>
          </cell>
          <cell r="S220">
            <v>3944.9520000000007</v>
          </cell>
        </row>
        <row r="221">
          <cell r="A221" t="str">
            <v>551.71</v>
          </cell>
          <cell r="B221">
            <v>216</v>
          </cell>
          <cell r="C221" t="str">
            <v>686.38 (x0,9)</v>
          </cell>
          <cell r="D221" t="str">
            <v>WiWi</v>
          </cell>
          <cell r="E221">
            <v>4000</v>
          </cell>
          <cell r="F221">
            <v>0</v>
          </cell>
          <cell r="G221">
            <v>3400</v>
          </cell>
          <cell r="H221">
            <v>2172.58</v>
          </cell>
          <cell r="I221">
            <v>2500</v>
          </cell>
          <cell r="J221">
            <v>89.100000000000009</v>
          </cell>
          <cell r="K221">
            <v>178.20000000000002</v>
          </cell>
          <cell r="L221">
            <v>267.3</v>
          </cell>
          <cell r="M221">
            <v>356.40000000000003</v>
          </cell>
          <cell r="N221">
            <v>495.41400000000004</v>
          </cell>
          <cell r="O221">
            <v>879.95699999999999</v>
          </cell>
          <cell r="P221">
            <v>969.05700000000002</v>
          </cell>
          <cell r="Q221">
            <v>1058.1570000000002</v>
          </cell>
          <cell r="R221">
            <v>1822.2570000000001</v>
          </cell>
          <cell r="S221">
            <v>1911.357</v>
          </cell>
        </row>
        <row r="222">
          <cell r="A222" t="str">
            <v>551.72</v>
          </cell>
          <cell r="B222">
            <v>217</v>
          </cell>
          <cell r="C222" t="str">
            <v>686.48 (x0,9)</v>
          </cell>
          <cell r="D222" t="str">
            <v>KSW</v>
          </cell>
          <cell r="E222">
            <v>500</v>
          </cell>
          <cell r="F222">
            <v>0</v>
          </cell>
          <cell r="G222">
            <v>1800</v>
          </cell>
          <cell r="H222">
            <v>216</v>
          </cell>
          <cell r="I222">
            <v>2300</v>
          </cell>
          <cell r="J222">
            <v>0</v>
          </cell>
          <cell r="K222">
            <v>47.502000000000002</v>
          </cell>
          <cell r="L222">
            <v>47.502000000000002</v>
          </cell>
          <cell r="M222">
            <v>47.502000000000002</v>
          </cell>
          <cell r="N222">
            <v>71.945999999999998</v>
          </cell>
          <cell r="O222">
            <v>214.38900000000001</v>
          </cell>
          <cell r="P222">
            <v>214.38900000000001</v>
          </cell>
          <cell r="Q222">
            <v>214.38900000000001</v>
          </cell>
          <cell r="R222">
            <v>214.38900000000001</v>
          </cell>
          <cell r="S222">
            <v>214.38900000000001</v>
          </cell>
        </row>
        <row r="223">
          <cell r="A223" t="str">
            <v>551.73</v>
          </cell>
          <cell r="B223">
            <v>218</v>
          </cell>
          <cell r="C223" t="str">
            <v>686.58 (x0,9)</v>
          </cell>
          <cell r="D223" t="str">
            <v>PSY</v>
          </cell>
          <cell r="E223">
            <v>1000</v>
          </cell>
          <cell r="F223">
            <v>0</v>
          </cell>
          <cell r="G223">
            <v>1000</v>
          </cell>
          <cell r="H223">
            <v>27</v>
          </cell>
          <cell r="I223">
            <v>1000</v>
          </cell>
          <cell r="J223">
            <v>0</v>
          </cell>
          <cell r="K223">
            <v>0</v>
          </cell>
          <cell r="L223">
            <v>0</v>
          </cell>
          <cell r="M223">
            <v>0</v>
          </cell>
          <cell r="N223">
            <v>0</v>
          </cell>
          <cell r="O223">
            <v>0</v>
          </cell>
          <cell r="P223">
            <v>0</v>
          </cell>
          <cell r="Q223">
            <v>0</v>
          </cell>
          <cell r="R223">
            <v>0</v>
          </cell>
          <cell r="S223">
            <v>0</v>
          </cell>
        </row>
        <row r="224">
          <cell r="A224" t="str">
            <v>551.74</v>
          </cell>
          <cell r="B224">
            <v>219</v>
          </cell>
          <cell r="C224" t="str">
            <v>686.68 (x0,9)</v>
          </cell>
          <cell r="D224" t="str">
            <v>ReWi</v>
          </cell>
          <cell r="E224">
            <v>3000</v>
          </cell>
          <cell r="F224">
            <v>0</v>
          </cell>
          <cell r="G224">
            <v>3500</v>
          </cell>
          <cell r="H224">
            <v>1929.24</v>
          </cell>
          <cell r="I224">
            <v>2000</v>
          </cell>
          <cell r="J224">
            <v>89.100000000000009</v>
          </cell>
          <cell r="K224">
            <v>178.20000000000002</v>
          </cell>
          <cell r="L224">
            <v>178.20000000000002</v>
          </cell>
          <cell r="M224">
            <v>356.40000000000003</v>
          </cell>
          <cell r="N224">
            <v>445.5</v>
          </cell>
          <cell r="O224">
            <v>552.6</v>
          </cell>
          <cell r="P224">
            <v>641.70000000000005</v>
          </cell>
          <cell r="Q224">
            <v>730.80000000000007</v>
          </cell>
          <cell r="R224">
            <v>1269.9000000000001</v>
          </cell>
          <cell r="S224">
            <v>1652.3190000000002</v>
          </cell>
        </row>
        <row r="225">
          <cell r="A225" t="str">
            <v>551.75</v>
          </cell>
          <cell r="B225">
            <v>220</v>
          </cell>
          <cell r="C225" t="str">
            <v>686.78 (x0,9)</v>
          </cell>
          <cell r="D225" t="str">
            <v>M+I</v>
          </cell>
          <cell r="E225">
            <v>1500</v>
          </cell>
          <cell r="F225">
            <v>0</v>
          </cell>
          <cell r="G225">
            <v>1250</v>
          </cell>
          <cell r="H225">
            <v>75.22</v>
          </cell>
          <cell r="I225">
            <v>500</v>
          </cell>
          <cell r="J225">
            <v>0</v>
          </cell>
          <cell r="K225">
            <v>0</v>
          </cell>
          <cell r="L225">
            <v>0</v>
          </cell>
          <cell r="M225">
            <v>0</v>
          </cell>
          <cell r="N225">
            <v>24.443999999999999</v>
          </cell>
          <cell r="O225">
            <v>166.887</v>
          </cell>
          <cell r="P225">
            <v>166.887</v>
          </cell>
          <cell r="Q225">
            <v>166.887</v>
          </cell>
          <cell r="R225">
            <v>166.887</v>
          </cell>
          <cell r="S225">
            <v>166.887</v>
          </cell>
        </row>
        <row r="226">
          <cell r="B226">
            <v>221</v>
          </cell>
          <cell r="H226">
            <v>0</v>
          </cell>
          <cell r="J226">
            <v>0</v>
          </cell>
          <cell r="K226">
            <v>0</v>
          </cell>
          <cell r="L226">
            <v>0</v>
          </cell>
          <cell r="M226">
            <v>0</v>
          </cell>
          <cell r="N226">
            <v>0</v>
          </cell>
          <cell r="O226">
            <v>0</v>
          </cell>
          <cell r="P226">
            <v>0</v>
          </cell>
          <cell r="Q226">
            <v>0</v>
          </cell>
          <cell r="R226">
            <v>0</v>
          </cell>
          <cell r="S226">
            <v>0</v>
          </cell>
        </row>
        <row r="227">
          <cell r="B227">
            <v>222</v>
          </cell>
          <cell r="H227">
            <v>0</v>
          </cell>
          <cell r="J227">
            <v>0</v>
          </cell>
          <cell r="K227">
            <v>0</v>
          </cell>
          <cell r="L227">
            <v>0</v>
          </cell>
          <cell r="M227">
            <v>0</v>
          </cell>
          <cell r="N227">
            <v>0</v>
          </cell>
          <cell r="O227">
            <v>0</v>
          </cell>
          <cell r="P227">
            <v>0</v>
          </cell>
          <cell r="Q227">
            <v>0</v>
          </cell>
          <cell r="R227">
            <v>0</v>
          </cell>
          <cell r="S227">
            <v>0</v>
          </cell>
        </row>
        <row r="228">
          <cell r="A228" t="str">
            <v>560.00</v>
          </cell>
          <cell r="B228">
            <v>222</v>
          </cell>
          <cell r="C228">
            <v>0</v>
          </cell>
          <cell r="D228" t="str">
            <v>Leistungen durch Dritte und Kooperationen</v>
          </cell>
          <cell r="E228">
            <v>27850</v>
          </cell>
          <cell r="F228">
            <v>21966.35</v>
          </cell>
          <cell r="G228">
            <v>88700</v>
          </cell>
          <cell r="H228">
            <v>37860.17</v>
          </cell>
          <cell r="I228">
            <v>229988</v>
          </cell>
          <cell r="J228">
            <v>1736.83</v>
          </cell>
          <cell r="K228">
            <v>2643.1000000000004</v>
          </cell>
          <cell r="L228">
            <v>3227.23</v>
          </cell>
          <cell r="M228">
            <v>5432.9960000000001</v>
          </cell>
          <cell r="N228">
            <v>6479.9840000000004</v>
          </cell>
          <cell r="O228">
            <v>11564.974</v>
          </cell>
          <cell r="P228">
            <v>12406.045999999998</v>
          </cell>
          <cell r="Q228">
            <v>13730.45</v>
          </cell>
          <cell r="R228">
            <v>16239.862000000001</v>
          </cell>
          <cell r="S228">
            <v>17393.306</v>
          </cell>
        </row>
        <row r="229">
          <cell r="A229" t="str">
            <v>560.10</v>
          </cell>
          <cell r="B229">
            <v>223</v>
          </cell>
          <cell r="C229" t="str">
            <v>526.20</v>
          </cell>
          <cell r="D229" t="str">
            <v>Lohnbuchführung</v>
          </cell>
          <cell r="E229">
            <v>5000</v>
          </cell>
          <cell r="F229">
            <v>3663.15</v>
          </cell>
          <cell r="G229">
            <v>5000</v>
          </cell>
          <cell r="H229">
            <v>4416.1499999999996</v>
          </cell>
          <cell r="I229">
            <v>5000</v>
          </cell>
          <cell r="J229">
            <v>304.64</v>
          </cell>
          <cell r="K229">
            <v>561.67999999999995</v>
          </cell>
          <cell r="L229">
            <v>561.67999999999995</v>
          </cell>
          <cell r="M229">
            <v>1075.76</v>
          </cell>
          <cell r="N229">
            <v>1075.76</v>
          </cell>
          <cell r="O229">
            <v>1075.76</v>
          </cell>
          <cell r="P229">
            <v>1332.8</v>
          </cell>
          <cell r="Q229">
            <v>1846.88</v>
          </cell>
          <cell r="R229">
            <v>2103.92</v>
          </cell>
          <cell r="S229">
            <v>2450.21</v>
          </cell>
        </row>
        <row r="230">
          <cell r="A230" t="str">
            <v>560.20</v>
          </cell>
          <cell r="B230">
            <v>224</v>
          </cell>
          <cell r="C230" t="str">
            <v>526.30</v>
          </cell>
          <cell r="D230" t="str">
            <v>Beratungen (Supervision Büro z.B.)</v>
          </cell>
          <cell r="E230">
            <v>500</v>
          </cell>
          <cell r="F230">
            <v>1517.25</v>
          </cell>
          <cell r="G230">
            <v>2500</v>
          </cell>
          <cell r="H230">
            <v>1561.88</v>
          </cell>
          <cell r="I230">
            <v>2000</v>
          </cell>
          <cell r="J230">
            <v>0</v>
          </cell>
          <cell r="K230">
            <v>0</v>
          </cell>
          <cell r="L230">
            <v>0</v>
          </cell>
          <cell r="M230">
            <v>0</v>
          </cell>
          <cell r="N230">
            <v>450</v>
          </cell>
          <cell r="O230">
            <v>1071</v>
          </cell>
          <cell r="P230">
            <v>1071</v>
          </cell>
          <cell r="Q230">
            <v>1071</v>
          </cell>
          <cell r="R230">
            <v>1071</v>
          </cell>
          <cell r="S230">
            <v>1071</v>
          </cell>
        </row>
        <row r="231">
          <cell r="A231" t="str">
            <v>560.30</v>
          </cell>
          <cell r="B231">
            <v>225</v>
          </cell>
          <cell r="C231" t="str">
            <v>511.61 (x0,6), 511.63</v>
          </cell>
          <cell r="D231" t="str">
            <v>IT-Dienstleistungen</v>
          </cell>
          <cell r="E231">
            <v>8900</v>
          </cell>
          <cell r="F231">
            <v>8863.92</v>
          </cell>
          <cell r="G231">
            <v>18750</v>
          </cell>
          <cell r="H231">
            <v>8570.2800000000007</v>
          </cell>
          <cell r="I231">
            <v>85538</v>
          </cell>
          <cell r="J231">
            <v>698.14499999999987</v>
          </cell>
          <cell r="K231">
            <v>1325.5350000000001</v>
          </cell>
          <cell r="L231">
            <v>1909.665</v>
          </cell>
          <cell r="M231">
            <v>2564.8510000000001</v>
          </cell>
          <cell r="N231">
            <v>3143.989</v>
          </cell>
          <cell r="O231">
            <v>3818.1189999999997</v>
          </cell>
          <cell r="P231">
            <v>4391.4209999999994</v>
          </cell>
          <cell r="Q231">
            <v>5201.7449999999999</v>
          </cell>
          <cell r="R231">
            <v>6002.3169999999991</v>
          </cell>
          <cell r="S231">
            <v>6798.7409999999991</v>
          </cell>
        </row>
        <row r="232">
          <cell r="A232" t="str">
            <v>560.40</v>
          </cell>
          <cell r="B232">
            <v>226</v>
          </cell>
          <cell r="C232" t="str">
            <v>n.a.</v>
          </cell>
          <cell r="D232" t="str">
            <v>Sonstige Leistungen durch Dritte</v>
          </cell>
          <cell r="E232">
            <v>0</v>
          </cell>
          <cell r="F232">
            <v>0</v>
          </cell>
          <cell r="G232">
            <v>500</v>
          </cell>
          <cell r="H232">
            <v>0</v>
          </cell>
          <cell r="I232">
            <v>55000</v>
          </cell>
          <cell r="J232">
            <v>6.915</v>
          </cell>
          <cell r="K232">
            <v>28.754999999999999</v>
          </cell>
          <cell r="L232">
            <v>28.754999999999999</v>
          </cell>
          <cell r="M232">
            <v>35.905000000000001</v>
          </cell>
          <cell r="N232">
            <v>53.755000000000003</v>
          </cell>
          <cell r="O232">
            <v>53.755000000000003</v>
          </cell>
          <cell r="P232">
            <v>64.484999999999999</v>
          </cell>
          <cell r="Q232">
            <v>64.484999999999999</v>
          </cell>
          <cell r="R232">
            <v>123.985</v>
          </cell>
          <cell r="S232">
            <v>134.715</v>
          </cell>
        </row>
        <row r="233">
          <cell r="A233" t="str">
            <v>560.50</v>
          </cell>
          <cell r="B233">
            <v>228</v>
          </cell>
          <cell r="C233" t="str">
            <v>526.10, 550.17</v>
          </cell>
          <cell r="D233" t="str">
            <v>Rechtsanwaltskosten AStA/Stupa</v>
          </cell>
          <cell r="E233">
            <v>15500</v>
          </cell>
          <cell r="F233">
            <v>7761.38</v>
          </cell>
          <cell r="G233">
            <v>25000</v>
          </cell>
          <cell r="H233">
            <v>23311.86</v>
          </cell>
          <cell r="I233">
            <v>25000</v>
          </cell>
          <cell r="J233">
            <v>727.13</v>
          </cell>
          <cell r="K233">
            <v>727.13</v>
          </cell>
          <cell r="L233">
            <v>727.13</v>
          </cell>
          <cell r="M233">
            <v>1756.48</v>
          </cell>
          <cell r="N233">
            <v>1756.48</v>
          </cell>
          <cell r="O233">
            <v>5546.34</v>
          </cell>
          <cell r="P233">
            <v>5546.34</v>
          </cell>
          <cell r="Q233">
            <v>5546.34</v>
          </cell>
          <cell r="R233">
            <v>6938.64</v>
          </cell>
          <cell r="S233">
            <v>6938.64</v>
          </cell>
        </row>
        <row r="234">
          <cell r="A234" t="str">
            <v>560.60</v>
          </cell>
          <cell r="B234">
            <v>229</v>
          </cell>
          <cell r="C234" t="str">
            <v>n.a.</v>
          </cell>
          <cell r="D234" t="str">
            <v>Prozesskosten und Gebühren AStA/Stupa</v>
          </cell>
          <cell r="E234">
            <v>0</v>
          </cell>
          <cell r="F234">
            <v>0</v>
          </cell>
          <cell r="G234">
            <v>1000</v>
          </cell>
          <cell r="H234">
            <v>0</v>
          </cell>
          <cell r="I234">
            <v>5000</v>
          </cell>
          <cell r="J234">
            <v>0</v>
          </cell>
          <cell r="K234">
            <v>0</v>
          </cell>
          <cell r="L234">
            <v>0</v>
          </cell>
          <cell r="M234">
            <v>0</v>
          </cell>
          <cell r="N234">
            <v>0</v>
          </cell>
          <cell r="O234">
            <v>0</v>
          </cell>
          <cell r="P234">
            <v>0</v>
          </cell>
          <cell r="Q234">
            <v>0</v>
          </cell>
          <cell r="R234">
            <v>0</v>
          </cell>
          <cell r="S234">
            <v>0</v>
          </cell>
        </row>
        <row r="235">
          <cell r="A235" t="str">
            <v>560.70</v>
          </cell>
          <cell r="B235">
            <v>230</v>
          </cell>
          <cell r="C235" t="str">
            <v>686.39, 686.49, 686.59, 686.69, 686.79</v>
          </cell>
          <cell r="D235" t="str">
            <v>Rechtskosten Fachschaften</v>
          </cell>
          <cell r="E235">
            <v>2950</v>
          </cell>
          <cell r="F235">
            <v>160.65</v>
          </cell>
          <cell r="G235">
            <v>2920</v>
          </cell>
          <cell r="H235">
            <v>0</v>
          </cell>
          <cell r="I235">
            <v>2450</v>
          </cell>
          <cell r="J235">
            <v>0</v>
          </cell>
          <cell r="K235">
            <v>0</v>
          </cell>
          <cell r="L235">
            <v>0</v>
          </cell>
          <cell r="M235">
            <v>0</v>
          </cell>
          <cell r="N235">
            <v>0</v>
          </cell>
          <cell r="O235">
            <v>0</v>
          </cell>
          <cell r="P235">
            <v>0</v>
          </cell>
          <cell r="Q235">
            <v>0</v>
          </cell>
          <cell r="R235">
            <v>0</v>
          </cell>
          <cell r="S235">
            <v>0</v>
          </cell>
        </row>
        <row r="236">
          <cell r="A236" t="str">
            <v>560.80</v>
          </cell>
          <cell r="B236">
            <v>231</v>
          </cell>
          <cell r="C236" t="str">
            <v>n.a.</v>
          </cell>
          <cell r="D236" t="str">
            <v>Rechtsberatung Studierende</v>
          </cell>
          <cell r="E236">
            <v>0</v>
          </cell>
          <cell r="F236">
            <v>0</v>
          </cell>
          <cell r="G236">
            <v>24000</v>
          </cell>
          <cell r="H236">
            <v>0</v>
          </cell>
          <cell r="I236">
            <v>50000</v>
          </cell>
          <cell r="J236">
            <v>0</v>
          </cell>
          <cell r="K236">
            <v>0</v>
          </cell>
          <cell r="L236">
            <v>0</v>
          </cell>
          <cell r="M236">
            <v>0</v>
          </cell>
          <cell r="N236">
            <v>0</v>
          </cell>
          <cell r="O236">
            <v>0</v>
          </cell>
          <cell r="P236">
            <v>0</v>
          </cell>
          <cell r="Q236">
            <v>0</v>
          </cell>
          <cell r="R236">
            <v>0</v>
          </cell>
          <cell r="S236">
            <v>0</v>
          </cell>
        </row>
        <row r="237">
          <cell r="B237">
            <v>231</v>
          </cell>
          <cell r="H237">
            <v>0</v>
          </cell>
          <cell r="J237">
            <v>0</v>
          </cell>
          <cell r="K237">
            <v>0</v>
          </cell>
          <cell r="L237">
            <v>0</v>
          </cell>
          <cell r="M237">
            <v>0</v>
          </cell>
          <cell r="N237">
            <v>0</v>
          </cell>
          <cell r="O237">
            <v>0</v>
          </cell>
          <cell r="P237">
            <v>0</v>
          </cell>
          <cell r="Q237">
            <v>0</v>
          </cell>
          <cell r="R237">
            <v>0</v>
          </cell>
          <cell r="S237">
            <v>0</v>
          </cell>
        </row>
        <row r="238">
          <cell r="A238" t="str">
            <v>580.00</v>
          </cell>
          <cell r="B238">
            <v>232</v>
          </cell>
          <cell r="C238">
            <v>0</v>
          </cell>
          <cell r="D238" t="str">
            <v>Wahlen und Studierendenbefragungen</v>
          </cell>
          <cell r="E238">
            <v>1700</v>
          </cell>
          <cell r="F238">
            <v>39511.550000000003</v>
          </cell>
          <cell r="G238">
            <v>142650</v>
          </cell>
          <cell r="H238">
            <v>0</v>
          </cell>
          <cell r="I238">
            <v>142650</v>
          </cell>
          <cell r="J238">
            <v>0</v>
          </cell>
          <cell r="K238">
            <v>0</v>
          </cell>
          <cell r="L238">
            <v>0</v>
          </cell>
          <cell r="M238">
            <v>0</v>
          </cell>
          <cell r="N238">
            <v>0</v>
          </cell>
          <cell r="O238">
            <v>0</v>
          </cell>
          <cell r="P238">
            <v>0</v>
          </cell>
          <cell r="Q238">
            <v>0</v>
          </cell>
          <cell r="R238">
            <v>0</v>
          </cell>
          <cell r="S238">
            <v>0</v>
          </cell>
        </row>
        <row r="239">
          <cell r="A239" t="str">
            <v>580.10</v>
          </cell>
          <cell r="B239">
            <v>233</v>
          </cell>
          <cell r="C239" t="str">
            <v>535.11</v>
          </cell>
          <cell r="D239" t="str">
            <v>AE fest Wahlen</v>
          </cell>
          <cell r="E239">
            <v>800</v>
          </cell>
          <cell r="F239">
            <v>800</v>
          </cell>
          <cell r="G239">
            <v>5600</v>
          </cell>
          <cell r="H239">
            <v>0</v>
          </cell>
          <cell r="I239">
            <v>5600</v>
          </cell>
          <cell r="J239">
            <v>0</v>
          </cell>
          <cell r="K239">
            <v>0</v>
          </cell>
          <cell r="L239">
            <v>0</v>
          </cell>
          <cell r="M239">
            <v>0</v>
          </cell>
          <cell r="N239">
            <v>0</v>
          </cell>
          <cell r="O239">
            <v>0</v>
          </cell>
          <cell r="P239">
            <v>0</v>
          </cell>
          <cell r="Q239">
            <v>0</v>
          </cell>
          <cell r="R239">
            <v>0</v>
          </cell>
          <cell r="S239">
            <v>0</v>
          </cell>
        </row>
        <row r="240">
          <cell r="A240" t="str">
            <v>580.20</v>
          </cell>
          <cell r="B240">
            <v>234</v>
          </cell>
          <cell r="C240" t="str">
            <v>535.12</v>
          </cell>
          <cell r="D240" t="str">
            <v>AE variabel Wahlen</v>
          </cell>
          <cell r="E240">
            <v>500</v>
          </cell>
          <cell r="F240">
            <v>595</v>
          </cell>
          <cell r="G240">
            <v>3000</v>
          </cell>
          <cell r="H240">
            <v>0</v>
          </cell>
          <cell r="I240">
            <v>3000</v>
          </cell>
          <cell r="J240">
            <v>0</v>
          </cell>
          <cell r="K240">
            <v>0</v>
          </cell>
          <cell r="L240">
            <v>0</v>
          </cell>
          <cell r="M240">
            <v>0</v>
          </cell>
          <cell r="N240">
            <v>0</v>
          </cell>
          <cell r="O240">
            <v>0</v>
          </cell>
          <cell r="P240">
            <v>0</v>
          </cell>
          <cell r="Q240">
            <v>0</v>
          </cell>
          <cell r="R240">
            <v>0</v>
          </cell>
          <cell r="S240">
            <v>0</v>
          </cell>
        </row>
        <row r="241">
          <cell r="A241" t="str">
            <v>580.30</v>
          </cell>
          <cell r="B241">
            <v>235</v>
          </cell>
          <cell r="C241" t="str">
            <v>535.21</v>
          </cell>
          <cell r="D241" t="str">
            <v>Fahrtkosten und Verpflegungspauschale Wahlen</v>
          </cell>
          <cell r="E241">
            <v>300</v>
          </cell>
          <cell r="F241">
            <v>504.35</v>
          </cell>
          <cell r="G241">
            <v>2000</v>
          </cell>
          <cell r="H241">
            <v>0</v>
          </cell>
          <cell r="I241">
            <v>2000</v>
          </cell>
          <cell r="J241">
            <v>0</v>
          </cell>
          <cell r="K241">
            <v>0</v>
          </cell>
          <cell r="L241">
            <v>0</v>
          </cell>
          <cell r="M241">
            <v>0</v>
          </cell>
          <cell r="N241">
            <v>0</v>
          </cell>
          <cell r="O241">
            <v>0</v>
          </cell>
          <cell r="P241">
            <v>0</v>
          </cell>
          <cell r="Q241">
            <v>0</v>
          </cell>
          <cell r="R241">
            <v>0</v>
          </cell>
          <cell r="S241">
            <v>0</v>
          </cell>
        </row>
        <row r="242">
          <cell r="A242" t="str">
            <v>580.40</v>
          </cell>
          <cell r="B242">
            <v>237</v>
          </cell>
          <cell r="C242" t="str">
            <v>535.22</v>
          </cell>
          <cell r="D242" t="str">
            <v>Raum- und Unterkunftskosten Wahlen</v>
          </cell>
          <cell r="E242">
            <v>100</v>
          </cell>
          <cell r="F242">
            <v>8374.25</v>
          </cell>
          <cell r="G242">
            <v>2000</v>
          </cell>
          <cell r="H242">
            <v>0</v>
          </cell>
          <cell r="I242">
            <v>2000</v>
          </cell>
          <cell r="J242">
            <v>0</v>
          </cell>
          <cell r="K242">
            <v>0</v>
          </cell>
          <cell r="L242">
            <v>0</v>
          </cell>
          <cell r="M242">
            <v>0</v>
          </cell>
          <cell r="N242">
            <v>0</v>
          </cell>
          <cell r="O242">
            <v>0</v>
          </cell>
          <cell r="P242">
            <v>0</v>
          </cell>
          <cell r="Q242">
            <v>0</v>
          </cell>
          <cell r="R242">
            <v>0</v>
          </cell>
          <cell r="S242">
            <v>0</v>
          </cell>
        </row>
        <row r="243">
          <cell r="A243" t="str">
            <v>580.50</v>
          </cell>
          <cell r="B243">
            <v>238</v>
          </cell>
          <cell r="C243" t="str">
            <v>535.53 (x0,995)</v>
          </cell>
          <cell r="D243" t="str">
            <v>Wahltools und Sonstige Kosten</v>
          </cell>
          <cell r="E243">
            <v>0</v>
          </cell>
          <cell r="F243">
            <v>0</v>
          </cell>
          <cell r="G243">
            <v>19900</v>
          </cell>
          <cell r="H243">
            <v>0</v>
          </cell>
          <cell r="I243">
            <v>19900</v>
          </cell>
          <cell r="J243">
            <v>0</v>
          </cell>
          <cell r="K243">
            <v>0</v>
          </cell>
          <cell r="L243">
            <v>0</v>
          </cell>
          <cell r="M243">
            <v>0</v>
          </cell>
          <cell r="N243">
            <v>0</v>
          </cell>
          <cell r="O243">
            <v>0</v>
          </cell>
          <cell r="P243">
            <v>0</v>
          </cell>
          <cell r="Q243">
            <v>0</v>
          </cell>
          <cell r="R243">
            <v>0</v>
          </cell>
          <cell r="S243">
            <v>0</v>
          </cell>
        </row>
        <row r="244">
          <cell r="A244" t="str">
            <v>580.60</v>
          </cell>
          <cell r="B244">
            <v>239</v>
          </cell>
          <cell r="C244" t="str">
            <v>535.52</v>
          </cell>
          <cell r="D244" t="str">
            <v>Wahlrohr Druck</v>
          </cell>
          <cell r="E244">
            <v>0</v>
          </cell>
          <cell r="F244">
            <v>0</v>
          </cell>
          <cell r="G244">
            <v>45000</v>
          </cell>
          <cell r="H244">
            <v>0</v>
          </cell>
          <cell r="I244">
            <v>45000</v>
          </cell>
          <cell r="J244">
            <v>0</v>
          </cell>
          <cell r="K244">
            <v>0</v>
          </cell>
          <cell r="L244">
            <v>0</v>
          </cell>
          <cell r="M244">
            <v>0</v>
          </cell>
          <cell r="N244">
            <v>0</v>
          </cell>
          <cell r="O244">
            <v>0</v>
          </cell>
          <cell r="P244">
            <v>0</v>
          </cell>
          <cell r="Q244">
            <v>0</v>
          </cell>
          <cell r="R244">
            <v>0</v>
          </cell>
          <cell r="S244">
            <v>0</v>
          </cell>
        </row>
        <row r="245">
          <cell r="A245" t="str">
            <v>580.70</v>
          </cell>
          <cell r="B245">
            <v>240</v>
          </cell>
          <cell r="C245" t="str">
            <v>535.51</v>
          </cell>
          <cell r="D245" t="str">
            <v>Wahlrohr Versand</v>
          </cell>
          <cell r="E245">
            <v>0</v>
          </cell>
          <cell r="F245">
            <v>0</v>
          </cell>
          <cell r="G245">
            <v>65000</v>
          </cell>
          <cell r="H245">
            <v>0</v>
          </cell>
          <cell r="I245">
            <v>65000</v>
          </cell>
          <cell r="J245">
            <v>0</v>
          </cell>
          <cell r="K245">
            <v>0</v>
          </cell>
          <cell r="L245">
            <v>0</v>
          </cell>
          <cell r="M245">
            <v>0</v>
          </cell>
          <cell r="N245">
            <v>0</v>
          </cell>
          <cell r="O245">
            <v>0</v>
          </cell>
          <cell r="P245">
            <v>0</v>
          </cell>
          <cell r="Q245">
            <v>0</v>
          </cell>
          <cell r="R245">
            <v>0</v>
          </cell>
          <cell r="S245">
            <v>0</v>
          </cell>
        </row>
        <row r="246">
          <cell r="A246" t="str">
            <v>580.80</v>
          </cell>
          <cell r="B246">
            <v>241</v>
          </cell>
          <cell r="C246" t="str">
            <v>535.54</v>
          </cell>
          <cell r="D246" t="str">
            <v>Wahlunterlagen Druck</v>
          </cell>
          <cell r="E246">
            <v>0</v>
          </cell>
          <cell r="F246">
            <v>19.95</v>
          </cell>
          <cell r="G246">
            <v>50</v>
          </cell>
          <cell r="H246">
            <v>0</v>
          </cell>
          <cell r="I246">
            <v>50</v>
          </cell>
          <cell r="J246">
            <v>0</v>
          </cell>
          <cell r="K246">
            <v>0</v>
          </cell>
          <cell r="L246">
            <v>0</v>
          </cell>
          <cell r="M246">
            <v>0</v>
          </cell>
          <cell r="N246">
            <v>0</v>
          </cell>
          <cell r="O246">
            <v>0</v>
          </cell>
          <cell r="P246">
            <v>0</v>
          </cell>
          <cell r="Q246">
            <v>0</v>
          </cell>
          <cell r="R246">
            <v>0</v>
          </cell>
          <cell r="S246">
            <v>0</v>
          </cell>
        </row>
        <row r="247">
          <cell r="A247" t="str">
            <v>580.90</v>
          </cell>
          <cell r="B247">
            <v>242</v>
          </cell>
          <cell r="C247" t="str">
            <v>535.53 (x0,005)</v>
          </cell>
          <cell r="D247" t="str">
            <v>Wahlunterlagen Versand</v>
          </cell>
          <cell r="E247">
            <v>0</v>
          </cell>
          <cell r="F247">
            <v>29218</v>
          </cell>
          <cell r="G247">
            <v>100</v>
          </cell>
          <cell r="H247">
            <v>0</v>
          </cell>
          <cell r="I247">
            <v>100</v>
          </cell>
          <cell r="J247">
            <v>0</v>
          </cell>
          <cell r="K247">
            <v>0</v>
          </cell>
          <cell r="L247">
            <v>0</v>
          </cell>
          <cell r="M247">
            <v>0</v>
          </cell>
          <cell r="N247">
            <v>0</v>
          </cell>
          <cell r="O247">
            <v>0</v>
          </cell>
          <cell r="P247">
            <v>0</v>
          </cell>
          <cell r="Q247">
            <v>0</v>
          </cell>
          <cell r="R247">
            <v>0</v>
          </cell>
          <cell r="S247">
            <v>0</v>
          </cell>
        </row>
        <row r="248">
          <cell r="B248">
            <v>243</v>
          </cell>
          <cell r="H248">
            <v>0</v>
          </cell>
          <cell r="J248">
            <v>0</v>
          </cell>
          <cell r="K248">
            <v>0</v>
          </cell>
          <cell r="L248">
            <v>0</v>
          </cell>
          <cell r="M248">
            <v>0</v>
          </cell>
          <cell r="N248">
            <v>0</v>
          </cell>
          <cell r="O248">
            <v>0</v>
          </cell>
          <cell r="P248">
            <v>0</v>
          </cell>
          <cell r="Q248">
            <v>0</v>
          </cell>
          <cell r="R248">
            <v>0</v>
          </cell>
          <cell r="S248">
            <v>0</v>
          </cell>
        </row>
        <row r="249">
          <cell r="B249">
            <v>244</v>
          </cell>
          <cell r="H249">
            <v>0</v>
          </cell>
          <cell r="J249">
            <v>0</v>
          </cell>
          <cell r="K249">
            <v>0</v>
          </cell>
          <cell r="L249">
            <v>0</v>
          </cell>
          <cell r="M249">
            <v>0</v>
          </cell>
          <cell r="N249">
            <v>0</v>
          </cell>
          <cell r="O249">
            <v>0</v>
          </cell>
          <cell r="P249">
            <v>0</v>
          </cell>
          <cell r="Q249">
            <v>0</v>
          </cell>
          <cell r="R249">
            <v>0</v>
          </cell>
          <cell r="S249">
            <v>0</v>
          </cell>
        </row>
        <row r="250">
          <cell r="A250" t="str">
            <v>Plan 6</v>
          </cell>
          <cell r="B250">
            <v>245</v>
          </cell>
          <cell r="C250">
            <v>0</v>
          </cell>
          <cell r="D250" t="str">
            <v>Zuschüsse, Mitgliedschaften, BHS</v>
          </cell>
          <cell r="E250">
            <v>222589.02</v>
          </cell>
          <cell r="F250">
            <v>193828.68</v>
          </cell>
          <cell r="G250">
            <v>223575</v>
          </cell>
          <cell r="H250">
            <v>145666.81</v>
          </cell>
          <cell r="I250">
            <v>221750</v>
          </cell>
          <cell r="J250">
            <v>18223.850000000002</v>
          </cell>
          <cell r="K250">
            <v>35137.96</v>
          </cell>
          <cell r="L250">
            <v>36146.340000000004</v>
          </cell>
          <cell r="M250">
            <v>69478.340000000011</v>
          </cell>
          <cell r="N250">
            <v>86144.34</v>
          </cell>
          <cell r="O250">
            <v>103016.46000000002</v>
          </cell>
          <cell r="P250">
            <v>120384.42</v>
          </cell>
          <cell r="Q250">
            <v>138127.23000000001</v>
          </cell>
          <cell r="R250">
            <v>153143.23000000001</v>
          </cell>
          <cell r="S250">
            <v>170054.77000000002</v>
          </cell>
        </row>
        <row r="251">
          <cell r="A251" t="str">
            <v>681.00</v>
          </cell>
          <cell r="B251">
            <v>246</v>
          </cell>
          <cell r="C251">
            <v>0</v>
          </cell>
          <cell r="D251" t="str">
            <v>Zuschüsse</v>
          </cell>
          <cell r="E251">
            <v>119300</v>
          </cell>
          <cell r="F251">
            <v>90539.66</v>
          </cell>
          <cell r="G251">
            <v>95200</v>
          </cell>
          <cell r="H251">
            <v>18276.080000000002</v>
          </cell>
          <cell r="I251">
            <v>18150</v>
          </cell>
          <cell r="J251">
            <v>1557.85</v>
          </cell>
          <cell r="K251">
            <v>1805.96</v>
          </cell>
          <cell r="L251">
            <v>2789.34</v>
          </cell>
          <cell r="M251">
            <v>2789.34</v>
          </cell>
          <cell r="N251">
            <v>2789.34</v>
          </cell>
          <cell r="O251">
            <v>2995.46</v>
          </cell>
          <cell r="P251">
            <v>3697.42</v>
          </cell>
          <cell r="Q251">
            <v>4774.2299999999996</v>
          </cell>
          <cell r="R251">
            <v>3124.2299999999996</v>
          </cell>
          <cell r="S251">
            <v>3369.7700000000004</v>
          </cell>
        </row>
        <row r="252">
          <cell r="A252" t="str">
            <v>681.10</v>
          </cell>
          <cell r="B252">
            <v>247</v>
          </cell>
          <cell r="C252" t="str">
            <v>n.a.</v>
          </cell>
          <cell r="D252" t="str">
            <v>Zuschüsse für studentische Aktivitäten (neu!)</v>
          </cell>
          <cell r="E252">
            <v>0</v>
          </cell>
          <cell r="F252">
            <v>0</v>
          </cell>
          <cell r="G252">
            <v>3000</v>
          </cell>
          <cell r="H252">
            <v>0</v>
          </cell>
          <cell r="I252">
            <v>3000</v>
          </cell>
          <cell r="J252">
            <v>0</v>
          </cell>
          <cell r="K252">
            <v>0</v>
          </cell>
          <cell r="L252">
            <v>0</v>
          </cell>
          <cell r="M252">
            <v>0</v>
          </cell>
          <cell r="N252">
            <v>0</v>
          </cell>
          <cell r="O252">
            <v>0</v>
          </cell>
          <cell r="P252">
            <v>0</v>
          </cell>
          <cell r="Q252">
            <v>0</v>
          </cell>
          <cell r="R252">
            <v>0</v>
          </cell>
          <cell r="S252">
            <v>0</v>
          </cell>
        </row>
        <row r="253">
          <cell r="A253" t="str">
            <v>681.20</v>
          </cell>
          <cell r="B253">
            <v>248</v>
          </cell>
          <cell r="C253" t="str">
            <v>n.a.</v>
          </cell>
          <cell r="D253" t="str">
            <v>Besondere Fachschaftsaktivitäten (neu!)</v>
          </cell>
          <cell r="E253">
            <v>0</v>
          </cell>
          <cell r="F253">
            <v>0</v>
          </cell>
          <cell r="G253">
            <v>8000</v>
          </cell>
          <cell r="H253">
            <v>0</v>
          </cell>
          <cell r="I253">
            <v>8000</v>
          </cell>
          <cell r="J253">
            <v>0</v>
          </cell>
          <cell r="K253">
            <v>0</v>
          </cell>
          <cell r="L253">
            <v>0</v>
          </cell>
          <cell r="M253">
            <v>0</v>
          </cell>
          <cell r="N253">
            <v>0</v>
          </cell>
          <cell r="O253">
            <v>0</v>
          </cell>
          <cell r="P253">
            <v>0</v>
          </cell>
          <cell r="Q253">
            <v>0</v>
          </cell>
          <cell r="R253">
            <v>0</v>
          </cell>
          <cell r="S253">
            <v>0</v>
          </cell>
        </row>
        <row r="254">
          <cell r="A254" t="str">
            <v>681.30</v>
          </cell>
          <cell r="B254">
            <v>249</v>
          </cell>
          <cell r="C254" t="str">
            <v>686.81</v>
          </cell>
          <cell r="D254" t="str">
            <v>Honorare Lerngruppen</v>
          </cell>
          <cell r="E254">
            <v>60000</v>
          </cell>
          <cell r="F254">
            <v>44554.29</v>
          </cell>
          <cell r="G254">
            <v>0</v>
          </cell>
          <cell r="H254">
            <v>5783.25</v>
          </cell>
          <cell r="I254">
            <v>0</v>
          </cell>
          <cell r="J254">
            <v>0</v>
          </cell>
          <cell r="K254">
            <v>0</v>
          </cell>
          <cell r="L254">
            <v>0</v>
          </cell>
          <cell r="M254">
            <v>0</v>
          </cell>
          <cell r="N254">
            <v>0</v>
          </cell>
          <cell r="O254">
            <v>0</v>
          </cell>
          <cell r="P254">
            <v>0</v>
          </cell>
          <cell r="Q254">
            <v>0</v>
          </cell>
          <cell r="R254">
            <v>-1650</v>
          </cell>
          <cell r="S254">
            <v>-1650</v>
          </cell>
        </row>
        <row r="255">
          <cell r="A255" t="str">
            <v>681.40</v>
          </cell>
          <cell r="B255">
            <v>250</v>
          </cell>
          <cell r="C255" t="str">
            <v>686.82</v>
          </cell>
          <cell r="D255" t="str">
            <v>Honorare Veranstaltungen Campus</v>
          </cell>
          <cell r="E255">
            <v>50000</v>
          </cell>
          <cell r="F255">
            <v>45570</v>
          </cell>
          <cell r="G255">
            <v>76000</v>
          </cell>
          <cell r="H255">
            <v>10690</v>
          </cell>
          <cell r="I255">
            <v>0</v>
          </cell>
          <cell r="J255">
            <v>0</v>
          </cell>
          <cell r="K255">
            <v>0</v>
          </cell>
          <cell r="L255">
            <v>0</v>
          </cell>
          <cell r="M255">
            <v>0</v>
          </cell>
          <cell r="N255">
            <v>0</v>
          </cell>
          <cell r="O255">
            <v>0</v>
          </cell>
          <cell r="P255">
            <v>0</v>
          </cell>
          <cell r="Q255">
            <v>0</v>
          </cell>
          <cell r="R255">
            <v>0</v>
          </cell>
          <cell r="S255">
            <v>0</v>
          </cell>
        </row>
        <row r="256">
          <cell r="A256" t="str">
            <v>681.50</v>
          </cell>
          <cell r="B256">
            <v>251</v>
          </cell>
          <cell r="C256" t="str">
            <v>686.83</v>
          </cell>
          <cell r="D256" t="str">
            <v>Bewirtung und Repräsentation Campus</v>
          </cell>
          <cell r="E256">
            <v>8000</v>
          </cell>
          <cell r="F256">
            <v>265.37</v>
          </cell>
          <cell r="G256">
            <v>7000</v>
          </cell>
          <cell r="H256">
            <v>1652.83</v>
          </cell>
          <cell r="I256">
            <v>7000</v>
          </cell>
          <cell r="J256">
            <v>1557.85</v>
          </cell>
          <cell r="K256">
            <v>1805.96</v>
          </cell>
          <cell r="L256">
            <v>2689.34</v>
          </cell>
          <cell r="M256">
            <v>2689.34</v>
          </cell>
          <cell r="N256">
            <v>2689.34</v>
          </cell>
          <cell r="O256">
            <v>2895.46</v>
          </cell>
          <cell r="P256">
            <v>3547.42</v>
          </cell>
          <cell r="Q256">
            <v>4624.2299999999996</v>
          </cell>
          <cell r="R256">
            <v>4624.2299999999996</v>
          </cell>
          <cell r="S256">
            <v>4869.7700000000004</v>
          </cell>
        </row>
        <row r="257">
          <cell r="A257" t="str">
            <v>681.60</v>
          </cell>
          <cell r="B257">
            <v>252</v>
          </cell>
          <cell r="C257" t="str">
            <v>686.13</v>
          </cell>
          <cell r="D257" t="str">
            <v>Allg. Betrieb Interessengruppen</v>
          </cell>
          <cell r="E257">
            <v>200</v>
          </cell>
          <cell r="F257">
            <v>150</v>
          </cell>
          <cell r="G257">
            <v>500</v>
          </cell>
          <cell r="H257">
            <v>150</v>
          </cell>
          <cell r="I257">
            <v>150</v>
          </cell>
          <cell r="J257">
            <v>0</v>
          </cell>
          <cell r="K257">
            <v>0</v>
          </cell>
          <cell r="L257">
            <v>100</v>
          </cell>
          <cell r="M257">
            <v>100</v>
          </cell>
          <cell r="N257">
            <v>100</v>
          </cell>
          <cell r="O257">
            <v>100</v>
          </cell>
          <cell r="P257">
            <v>150</v>
          </cell>
          <cell r="Q257">
            <v>150</v>
          </cell>
          <cell r="R257">
            <v>150</v>
          </cell>
          <cell r="S257">
            <v>150</v>
          </cell>
        </row>
        <row r="258">
          <cell r="A258" t="str">
            <v>681.70</v>
          </cell>
          <cell r="B258">
            <v>253</v>
          </cell>
          <cell r="C258" t="str">
            <v>686.16</v>
          </cell>
          <cell r="D258" t="str">
            <v>Rechtsangelegenheiten Interessengruppen</v>
          </cell>
          <cell r="E258">
            <v>200</v>
          </cell>
          <cell r="F258">
            <v>0</v>
          </cell>
          <cell r="G258">
            <v>200</v>
          </cell>
          <cell r="H258">
            <v>0</v>
          </cell>
          <cell r="I258">
            <v>0</v>
          </cell>
          <cell r="J258">
            <v>0</v>
          </cell>
          <cell r="K258">
            <v>0</v>
          </cell>
          <cell r="L258">
            <v>0</v>
          </cell>
          <cell r="M258">
            <v>0</v>
          </cell>
          <cell r="N258">
            <v>0</v>
          </cell>
          <cell r="O258">
            <v>0</v>
          </cell>
          <cell r="P258">
            <v>0</v>
          </cell>
          <cell r="Q258">
            <v>0</v>
          </cell>
          <cell r="R258">
            <v>0</v>
          </cell>
          <cell r="S258">
            <v>0</v>
          </cell>
        </row>
        <row r="259">
          <cell r="A259" t="str">
            <v>681.80</v>
          </cell>
          <cell r="B259">
            <v>254</v>
          </cell>
          <cell r="C259" t="str">
            <v>686.84, 686.23, 686.26</v>
          </cell>
          <cell r="D259" t="str">
            <v>Sonstige</v>
          </cell>
          <cell r="E259">
            <v>900</v>
          </cell>
          <cell r="F259">
            <v>0</v>
          </cell>
          <cell r="G259">
            <v>500</v>
          </cell>
          <cell r="H259">
            <v>0</v>
          </cell>
          <cell r="I259">
            <v>0</v>
          </cell>
          <cell r="J259">
            <v>0</v>
          </cell>
          <cell r="K259">
            <v>0</v>
          </cell>
          <cell r="L259">
            <v>0</v>
          </cell>
          <cell r="M259">
            <v>0</v>
          </cell>
          <cell r="N259">
            <v>0</v>
          </cell>
          <cell r="O259">
            <v>0</v>
          </cell>
          <cell r="P259">
            <v>0</v>
          </cell>
          <cell r="Q259">
            <v>0</v>
          </cell>
          <cell r="R259">
            <v>0</v>
          </cell>
          <cell r="S259">
            <v>0</v>
          </cell>
        </row>
        <row r="260">
          <cell r="B260">
            <v>255</v>
          </cell>
          <cell r="H260">
            <v>0</v>
          </cell>
          <cell r="J260">
            <v>0</v>
          </cell>
          <cell r="K260">
            <v>0</v>
          </cell>
          <cell r="L260">
            <v>0</v>
          </cell>
          <cell r="M260">
            <v>0</v>
          </cell>
          <cell r="N260">
            <v>0</v>
          </cell>
          <cell r="O260">
            <v>0</v>
          </cell>
          <cell r="P260">
            <v>0</v>
          </cell>
          <cell r="Q260">
            <v>0</v>
          </cell>
          <cell r="R260">
            <v>0</v>
          </cell>
          <cell r="S260">
            <v>0</v>
          </cell>
        </row>
        <row r="261">
          <cell r="A261" t="str">
            <v>685 00</v>
          </cell>
          <cell r="B261">
            <v>256</v>
          </cell>
          <cell r="C261">
            <v>0</v>
          </cell>
          <cell r="D261" t="str">
            <v>Vereins- und Verbandsmitgliedschaften</v>
          </cell>
          <cell r="E261">
            <v>3289.02</v>
          </cell>
          <cell r="F261">
            <v>3289.02</v>
          </cell>
          <cell r="G261">
            <v>3375</v>
          </cell>
          <cell r="H261">
            <v>2390.73</v>
          </cell>
          <cell r="I261">
            <v>3600</v>
          </cell>
          <cell r="J261">
            <v>0</v>
          </cell>
          <cell r="K261">
            <v>0</v>
          </cell>
          <cell r="L261">
            <v>25</v>
          </cell>
          <cell r="M261">
            <v>25</v>
          </cell>
          <cell r="N261">
            <v>25</v>
          </cell>
          <cell r="O261">
            <v>25</v>
          </cell>
          <cell r="P261">
            <v>25</v>
          </cell>
          <cell r="Q261">
            <v>25</v>
          </cell>
          <cell r="R261">
            <v>25</v>
          </cell>
          <cell r="S261">
            <v>25</v>
          </cell>
        </row>
        <row r="262">
          <cell r="A262" t="str">
            <v>685.10</v>
          </cell>
          <cell r="B262">
            <v>257</v>
          </cell>
          <cell r="C262" t="str">
            <v>686.17</v>
          </cell>
          <cell r="D262" t="str">
            <v>LAT NRW</v>
          </cell>
          <cell r="E262">
            <v>3264.02</v>
          </cell>
          <cell r="F262">
            <v>3264.02</v>
          </cell>
          <cell r="G262">
            <v>3300</v>
          </cell>
          <cell r="H262">
            <v>2365.73</v>
          </cell>
          <cell r="I262">
            <v>3500</v>
          </cell>
          <cell r="J262">
            <v>0</v>
          </cell>
          <cell r="K262">
            <v>0</v>
          </cell>
          <cell r="L262">
            <v>0</v>
          </cell>
          <cell r="M262">
            <v>0</v>
          </cell>
          <cell r="N262">
            <v>0</v>
          </cell>
          <cell r="O262">
            <v>0</v>
          </cell>
          <cell r="P262">
            <v>0</v>
          </cell>
          <cell r="Q262">
            <v>0</v>
          </cell>
          <cell r="R262">
            <v>0</v>
          </cell>
          <cell r="S262">
            <v>0</v>
          </cell>
        </row>
        <row r="263">
          <cell r="A263" t="str">
            <v>685.20</v>
          </cell>
          <cell r="B263">
            <v>258</v>
          </cell>
          <cell r="C263" t="str">
            <v>686.18</v>
          </cell>
          <cell r="D263" t="str">
            <v>DJH, DAAD</v>
          </cell>
          <cell r="E263">
            <v>25</v>
          </cell>
          <cell r="F263">
            <v>25</v>
          </cell>
          <cell r="G263">
            <v>75</v>
          </cell>
          <cell r="H263">
            <v>25</v>
          </cell>
          <cell r="I263">
            <v>100</v>
          </cell>
          <cell r="J263">
            <v>0</v>
          </cell>
          <cell r="K263">
            <v>0</v>
          </cell>
          <cell r="L263">
            <v>25</v>
          </cell>
          <cell r="M263">
            <v>25</v>
          </cell>
          <cell r="N263">
            <v>25</v>
          </cell>
          <cell r="O263">
            <v>25</v>
          </cell>
          <cell r="P263">
            <v>25</v>
          </cell>
          <cell r="Q263">
            <v>25</v>
          </cell>
          <cell r="R263">
            <v>25</v>
          </cell>
          <cell r="S263">
            <v>25</v>
          </cell>
        </row>
        <row r="264">
          <cell r="B264">
            <v>259</v>
          </cell>
          <cell r="H264">
            <v>0</v>
          </cell>
          <cell r="J264">
            <v>0</v>
          </cell>
          <cell r="K264">
            <v>0</v>
          </cell>
          <cell r="L264">
            <v>0</v>
          </cell>
          <cell r="M264">
            <v>0</v>
          </cell>
          <cell r="N264">
            <v>0</v>
          </cell>
          <cell r="O264">
            <v>0</v>
          </cell>
          <cell r="P264">
            <v>0</v>
          </cell>
          <cell r="Q264">
            <v>0</v>
          </cell>
          <cell r="R264">
            <v>0</v>
          </cell>
          <cell r="S264">
            <v>0</v>
          </cell>
        </row>
        <row r="265">
          <cell r="A265" t="str">
            <v>690.00</v>
          </cell>
          <cell r="B265">
            <v>260</v>
          </cell>
          <cell r="C265">
            <v>0</v>
          </cell>
          <cell r="D265" t="str">
            <v>BHS-GmbH</v>
          </cell>
          <cell r="E265">
            <v>100000</v>
          </cell>
          <cell r="F265">
            <v>100000</v>
          </cell>
          <cell r="G265">
            <v>125000</v>
          </cell>
          <cell r="H265">
            <v>125000</v>
          </cell>
          <cell r="I265">
            <v>200000</v>
          </cell>
          <cell r="J265">
            <v>16666</v>
          </cell>
          <cell r="K265">
            <v>33332</v>
          </cell>
          <cell r="L265">
            <v>33332</v>
          </cell>
          <cell r="M265">
            <v>66664</v>
          </cell>
          <cell r="N265">
            <v>83330</v>
          </cell>
          <cell r="O265">
            <v>99996.000000000015</v>
          </cell>
          <cell r="P265">
            <v>116662</v>
          </cell>
          <cell r="Q265">
            <v>133328</v>
          </cell>
          <cell r="R265">
            <v>149994</v>
          </cell>
          <cell r="S265">
            <v>166660</v>
          </cell>
        </row>
        <row r="266">
          <cell r="A266" t="str">
            <v>685.10</v>
          </cell>
          <cell r="B266">
            <v>261</v>
          </cell>
          <cell r="C266" t="str">
            <v>690.00 (x0,685)</v>
          </cell>
          <cell r="D266" t="str">
            <v>Ausgleich negativer Cashflow</v>
          </cell>
          <cell r="E266">
            <v>68430.649999999994</v>
          </cell>
          <cell r="F266">
            <v>100000</v>
          </cell>
          <cell r="G266">
            <v>46492.17</v>
          </cell>
          <cell r="H266">
            <v>85625</v>
          </cell>
          <cell r="I266">
            <v>45000</v>
          </cell>
          <cell r="J266">
            <v>11416.210000000001</v>
          </cell>
          <cell r="K266">
            <v>22832.420000000002</v>
          </cell>
          <cell r="L266">
            <v>22832.420000000002</v>
          </cell>
          <cell r="M266">
            <v>45664.840000000004</v>
          </cell>
          <cell r="N266">
            <v>57081.05</v>
          </cell>
          <cell r="O266">
            <v>68497.260000000009</v>
          </cell>
          <cell r="P266">
            <v>79913.47</v>
          </cell>
          <cell r="Q266">
            <v>91329.680000000008</v>
          </cell>
          <cell r="R266">
            <v>102745.89000000001</v>
          </cell>
          <cell r="S266">
            <v>114162.1</v>
          </cell>
        </row>
        <row r="267">
          <cell r="A267" t="str">
            <v>685.20</v>
          </cell>
          <cell r="B267">
            <v>262</v>
          </cell>
          <cell r="C267" t="str">
            <v>690.00 (x0,315)</v>
          </cell>
          <cell r="D267" t="str">
            <v>Maßnahmen BHS</v>
          </cell>
          <cell r="E267">
            <v>31569.35</v>
          </cell>
          <cell r="F267">
            <v>0</v>
          </cell>
          <cell r="G267">
            <v>78507.83</v>
          </cell>
          <cell r="H267">
            <v>39375</v>
          </cell>
          <cell r="I267">
            <v>155000</v>
          </cell>
          <cell r="J267">
            <v>5249.79</v>
          </cell>
          <cell r="K267">
            <v>10499.58</v>
          </cell>
          <cell r="L267">
            <v>10499.58</v>
          </cell>
          <cell r="M267">
            <v>20999.16</v>
          </cell>
          <cell r="N267">
            <v>26248.95</v>
          </cell>
          <cell r="O267">
            <v>31498.74</v>
          </cell>
          <cell r="P267">
            <v>36748.53</v>
          </cell>
          <cell r="Q267">
            <v>41998.32</v>
          </cell>
          <cell r="R267">
            <v>47248.11</v>
          </cell>
          <cell r="S267">
            <v>52497.9</v>
          </cell>
        </row>
        <row r="268">
          <cell r="B268">
            <v>263</v>
          </cell>
          <cell r="H268">
            <v>0</v>
          </cell>
          <cell r="J268">
            <v>0</v>
          </cell>
          <cell r="K268">
            <v>0</v>
          </cell>
          <cell r="L268">
            <v>0</v>
          </cell>
          <cell r="M268">
            <v>0</v>
          </cell>
          <cell r="N268">
            <v>0</v>
          </cell>
          <cell r="O268">
            <v>0</v>
          </cell>
          <cell r="P268">
            <v>0</v>
          </cell>
          <cell r="Q268">
            <v>0</v>
          </cell>
          <cell r="R268">
            <v>0</v>
          </cell>
          <cell r="S268">
            <v>0</v>
          </cell>
        </row>
        <row r="269">
          <cell r="A269" t="str">
            <v>Plan 8</v>
          </cell>
          <cell r="B269">
            <v>264</v>
          </cell>
          <cell r="C269">
            <v>0</v>
          </cell>
          <cell r="D269" t="str">
            <v>Darlehen</v>
          </cell>
          <cell r="E269">
            <v>11500</v>
          </cell>
          <cell r="F269">
            <v>950</v>
          </cell>
          <cell r="G269">
            <v>16500</v>
          </cell>
          <cell r="H269">
            <v>2500</v>
          </cell>
          <cell r="I269">
            <v>6000</v>
          </cell>
          <cell r="J269">
            <v>0</v>
          </cell>
          <cell r="K269">
            <v>0</v>
          </cell>
          <cell r="L269">
            <v>0</v>
          </cell>
          <cell r="M269">
            <v>0</v>
          </cell>
          <cell r="N269">
            <v>0</v>
          </cell>
          <cell r="O269">
            <v>0</v>
          </cell>
          <cell r="P269">
            <v>0</v>
          </cell>
          <cell r="Q269">
            <v>0</v>
          </cell>
          <cell r="R269">
            <v>1000</v>
          </cell>
          <cell r="S269">
            <v>1000</v>
          </cell>
        </row>
        <row r="270">
          <cell r="A270" t="str">
            <v>860.00</v>
          </cell>
          <cell r="B270">
            <v>265</v>
          </cell>
          <cell r="C270">
            <v>0</v>
          </cell>
          <cell r="D270" t="str">
            <v>Studierende</v>
          </cell>
          <cell r="E270">
            <v>11500</v>
          </cell>
          <cell r="F270">
            <v>950</v>
          </cell>
          <cell r="G270">
            <v>16500</v>
          </cell>
          <cell r="H270">
            <v>2500</v>
          </cell>
          <cell r="I270">
            <v>6000</v>
          </cell>
          <cell r="J270">
            <v>0</v>
          </cell>
          <cell r="K270">
            <v>0</v>
          </cell>
          <cell r="L270">
            <v>0</v>
          </cell>
          <cell r="M270">
            <v>0</v>
          </cell>
          <cell r="N270">
            <v>0</v>
          </cell>
          <cell r="O270">
            <v>0</v>
          </cell>
          <cell r="P270">
            <v>0</v>
          </cell>
          <cell r="Q270">
            <v>0</v>
          </cell>
          <cell r="R270">
            <v>1000</v>
          </cell>
          <cell r="S270">
            <v>1000</v>
          </cell>
        </row>
        <row r="271">
          <cell r="A271" t="str">
            <v>860.10</v>
          </cell>
          <cell r="B271">
            <v>266</v>
          </cell>
          <cell r="C271" t="str">
            <v>860.00</v>
          </cell>
          <cell r="D271" t="str">
            <v>Allgemeine Darlehen</v>
          </cell>
          <cell r="E271">
            <v>10000</v>
          </cell>
          <cell r="F271">
            <v>950</v>
          </cell>
          <cell r="G271">
            <v>15000</v>
          </cell>
          <cell r="H271">
            <v>2500</v>
          </cell>
          <cell r="I271">
            <v>5000</v>
          </cell>
          <cell r="J271">
            <v>0</v>
          </cell>
          <cell r="K271">
            <v>0</v>
          </cell>
          <cell r="L271">
            <v>0</v>
          </cell>
          <cell r="M271">
            <v>0</v>
          </cell>
          <cell r="N271">
            <v>0</v>
          </cell>
          <cell r="O271">
            <v>0</v>
          </cell>
          <cell r="P271">
            <v>0</v>
          </cell>
          <cell r="Q271">
            <v>0</v>
          </cell>
          <cell r="R271">
            <v>1000</v>
          </cell>
          <cell r="S271">
            <v>1000</v>
          </cell>
        </row>
        <row r="272">
          <cell r="A272" t="str">
            <v>860.20</v>
          </cell>
          <cell r="B272">
            <v>267</v>
          </cell>
          <cell r="C272" t="str">
            <v>861.00</v>
          </cell>
          <cell r="D272" t="str">
            <v>Internationalisierungsdarlehen</v>
          </cell>
          <cell r="E272">
            <v>1500</v>
          </cell>
          <cell r="F272">
            <v>0</v>
          </cell>
          <cell r="G272">
            <v>1500</v>
          </cell>
          <cell r="H272">
            <v>0</v>
          </cell>
          <cell r="I272">
            <v>1000</v>
          </cell>
          <cell r="J272">
            <v>0</v>
          </cell>
          <cell r="K272">
            <v>0</v>
          </cell>
          <cell r="L272">
            <v>0</v>
          </cell>
          <cell r="M272">
            <v>0</v>
          </cell>
          <cell r="N272">
            <v>0</v>
          </cell>
          <cell r="O272">
            <v>0</v>
          </cell>
          <cell r="P272">
            <v>0</v>
          </cell>
          <cell r="Q272">
            <v>0</v>
          </cell>
          <cell r="R272">
            <v>0</v>
          </cell>
          <cell r="S272">
            <v>0</v>
          </cell>
        </row>
        <row r="273">
          <cell r="B273">
            <v>268</v>
          </cell>
          <cell r="H273">
            <v>0</v>
          </cell>
          <cell r="J273">
            <v>0</v>
          </cell>
          <cell r="K273">
            <v>0</v>
          </cell>
          <cell r="L273">
            <v>0</v>
          </cell>
          <cell r="M273">
            <v>0</v>
          </cell>
          <cell r="N273">
            <v>0</v>
          </cell>
          <cell r="O273">
            <v>0</v>
          </cell>
          <cell r="P273">
            <v>0</v>
          </cell>
          <cell r="Q273">
            <v>0</v>
          </cell>
          <cell r="R273">
            <v>0</v>
          </cell>
          <cell r="S273">
            <v>0</v>
          </cell>
        </row>
        <row r="274">
          <cell r="A274" t="str">
            <v>Plan 9</v>
          </cell>
          <cell r="B274">
            <v>269</v>
          </cell>
          <cell r="C274">
            <v>0</v>
          </cell>
          <cell r="D274" t="str">
            <v>Rücklagen</v>
          </cell>
          <cell r="E274">
            <v>60000</v>
          </cell>
          <cell r="F274">
            <v>60000</v>
          </cell>
          <cell r="G274">
            <v>0</v>
          </cell>
          <cell r="H274">
            <v>0</v>
          </cell>
          <cell r="I274">
            <v>4611.32</v>
          </cell>
          <cell r="J274">
            <v>0</v>
          </cell>
          <cell r="K274">
            <v>0</v>
          </cell>
          <cell r="L274">
            <v>0</v>
          </cell>
          <cell r="M274">
            <v>0</v>
          </cell>
          <cell r="N274">
            <v>0</v>
          </cell>
          <cell r="O274">
            <v>0</v>
          </cell>
          <cell r="P274">
            <v>0</v>
          </cell>
          <cell r="Q274">
            <v>0</v>
          </cell>
          <cell r="R274">
            <v>0</v>
          </cell>
          <cell r="S274">
            <v>0</v>
          </cell>
        </row>
        <row r="275">
          <cell r="A275" t="str">
            <v>919 00</v>
          </cell>
          <cell r="B275">
            <v>270</v>
          </cell>
          <cell r="C275">
            <v>0</v>
          </cell>
          <cell r="D275" t="str">
            <v>Zuführung zu Rücklagen</v>
          </cell>
          <cell r="E275">
            <v>60000</v>
          </cell>
          <cell r="F275">
            <v>60000</v>
          </cell>
          <cell r="G275">
            <v>0</v>
          </cell>
          <cell r="H275">
            <v>0</v>
          </cell>
          <cell r="I275">
            <v>4611.32</v>
          </cell>
          <cell r="J275">
            <v>0</v>
          </cell>
          <cell r="K275">
            <v>0</v>
          </cell>
          <cell r="L275">
            <v>0</v>
          </cell>
          <cell r="M275">
            <v>0</v>
          </cell>
          <cell r="N275">
            <v>0</v>
          </cell>
          <cell r="O275">
            <v>0</v>
          </cell>
          <cell r="P275">
            <v>0</v>
          </cell>
          <cell r="Q275">
            <v>0</v>
          </cell>
          <cell r="R275">
            <v>0</v>
          </cell>
          <cell r="S275">
            <v>0</v>
          </cell>
        </row>
        <row r="276">
          <cell r="A276" t="str">
            <v>919.10</v>
          </cell>
          <cell r="B276">
            <v>271</v>
          </cell>
          <cell r="C276" t="str">
            <v>910.00</v>
          </cell>
          <cell r="D276" t="str">
            <v>Allgemeine Rücklage</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row>
        <row r="277">
          <cell r="A277" t="str">
            <v>919.20</v>
          </cell>
          <cell r="B277">
            <v>272</v>
          </cell>
          <cell r="C277" t="str">
            <v>920.00</v>
          </cell>
          <cell r="D277" t="str">
            <v>Schwankungsrücklage Wahlen</v>
          </cell>
          <cell r="E277">
            <v>60000</v>
          </cell>
          <cell r="F277">
            <v>60000</v>
          </cell>
          <cell r="G277">
            <v>0</v>
          </cell>
          <cell r="H277">
            <v>0</v>
          </cell>
          <cell r="I277">
            <v>4611.32</v>
          </cell>
          <cell r="J277">
            <v>0</v>
          </cell>
          <cell r="K277">
            <v>0</v>
          </cell>
          <cell r="L277">
            <v>0</v>
          </cell>
          <cell r="M277">
            <v>0</v>
          </cell>
          <cell r="N277">
            <v>0</v>
          </cell>
          <cell r="O277">
            <v>0</v>
          </cell>
          <cell r="P277">
            <v>0</v>
          </cell>
          <cell r="Q277">
            <v>0</v>
          </cell>
          <cell r="R277">
            <v>0</v>
          </cell>
          <cell r="S277">
            <v>0</v>
          </cell>
        </row>
        <row r="278">
          <cell r="A278" t="str">
            <v>919.30</v>
          </cell>
          <cell r="B278">
            <v>273</v>
          </cell>
          <cell r="C278" t="str">
            <v>930.00</v>
          </cell>
          <cell r="D278" t="str">
            <v>Sonstige Rücklagen</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row>
        <row r="279">
          <cell r="B279">
            <v>274</v>
          </cell>
          <cell r="H279">
            <v>0</v>
          </cell>
          <cell r="J279">
            <v>0</v>
          </cell>
          <cell r="K279">
            <v>0</v>
          </cell>
          <cell r="L279">
            <v>0</v>
          </cell>
          <cell r="M279">
            <v>0</v>
          </cell>
          <cell r="N279">
            <v>0</v>
          </cell>
          <cell r="O279">
            <v>0</v>
          </cell>
          <cell r="P279">
            <v>0</v>
          </cell>
          <cell r="Q279">
            <v>0</v>
          </cell>
          <cell r="R279">
            <v>0</v>
          </cell>
          <cell r="S279">
            <v>0</v>
          </cell>
        </row>
        <row r="280">
          <cell r="B280">
            <v>275</v>
          </cell>
          <cell r="D280" t="str">
            <v>Ausgaben Gesamt</v>
          </cell>
          <cell r="E280">
            <v>1479844.02</v>
          </cell>
          <cell r="F280">
            <v>1215421.75</v>
          </cell>
          <cell r="G280">
            <v>1568977.28</v>
          </cell>
          <cell r="H280">
            <v>744412.76</v>
          </cell>
          <cell r="I280">
            <v>1582227.32</v>
          </cell>
          <cell r="J280">
            <v>66071.17</v>
          </cell>
          <cell r="K280">
            <v>133868.62</v>
          </cell>
          <cell r="L280">
            <v>190002.31999999998</v>
          </cell>
          <cell r="M280">
            <v>266880.11</v>
          </cell>
          <cell r="N280">
            <v>335577.87</v>
          </cell>
          <cell r="O280">
            <v>418949.8</v>
          </cell>
          <cell r="P280">
            <v>477765.80000000005</v>
          </cell>
          <cell r="Q280">
            <v>550949.63</v>
          </cell>
          <cell r="R280">
            <v>615570.42000000004</v>
          </cell>
          <cell r="S280">
            <v>685458.59000000008</v>
          </cell>
        </row>
        <row r="281">
          <cell r="B281">
            <v>276</v>
          </cell>
          <cell r="D281" t="str">
            <v>Einnahmen Gesamt</v>
          </cell>
          <cell r="E281">
            <v>1480000</v>
          </cell>
          <cell r="F281">
            <v>1500919.53</v>
          </cell>
          <cell r="G281">
            <v>1568977.28</v>
          </cell>
          <cell r="H281">
            <v>1433893.8299999998</v>
          </cell>
          <cell r="I281">
            <v>1582227.3199999998</v>
          </cell>
          <cell r="J281">
            <v>937833.09</v>
          </cell>
          <cell r="K281">
            <v>1141388.6199999999</v>
          </cell>
          <cell r="L281">
            <v>1190112.3399999999</v>
          </cell>
          <cell r="M281">
            <v>1211898.24</v>
          </cell>
          <cell r="N281">
            <v>1227973.5</v>
          </cell>
          <cell r="O281">
            <v>1254018.0499999998</v>
          </cell>
          <cell r="P281">
            <v>1513694.5</v>
          </cell>
          <cell r="Q281">
            <v>1726600.16</v>
          </cell>
          <cell r="R281">
            <v>1764119.69</v>
          </cell>
          <cell r="S281">
            <v>1786963.7399999998</v>
          </cell>
        </row>
        <row r="282">
          <cell r="B282">
            <v>277</v>
          </cell>
          <cell r="D282" t="str">
            <v>Bilanz</v>
          </cell>
          <cell r="E282">
            <v>155.97999999998137</v>
          </cell>
          <cell r="F282">
            <v>285497.78000000003</v>
          </cell>
          <cell r="G282">
            <v>0</v>
          </cell>
          <cell r="H282">
            <v>689481.06999999983</v>
          </cell>
          <cell r="I282">
            <v>0</v>
          </cell>
          <cell r="J282">
            <v>871761.91999999993</v>
          </cell>
          <cell r="K282">
            <v>1007519.9999999999</v>
          </cell>
          <cell r="L282">
            <v>1000110.0199999999</v>
          </cell>
          <cell r="M282">
            <v>945018.13</v>
          </cell>
          <cell r="N282">
            <v>892395.63</v>
          </cell>
          <cell r="O282">
            <v>835068.24999999977</v>
          </cell>
          <cell r="P282">
            <v>1035928.7</v>
          </cell>
          <cell r="Q282">
            <v>1175650.5299999998</v>
          </cell>
          <cell r="R282">
            <v>1148549.27</v>
          </cell>
          <cell r="S282">
            <v>1101505.1499999997</v>
          </cell>
        </row>
        <row r="284">
          <cell r="E284">
            <v>1479844.02</v>
          </cell>
        </row>
        <row r="285">
          <cell r="E285">
            <v>0</v>
          </cell>
        </row>
        <row r="287">
          <cell r="D287">
            <v>0</v>
          </cell>
        </row>
        <row r="288">
          <cell r="D288" t="str">
            <v>Geldvermögen</v>
          </cell>
          <cell r="E288" t="str">
            <v>SOLL 30. Sept. 2022</v>
          </cell>
          <cell r="F288" t="str">
            <v>Stand 30. Sep. 2022</v>
          </cell>
          <cell r="H288">
            <v>0</v>
          </cell>
        </row>
        <row r="289">
          <cell r="D289" t="str">
            <v>Giroguthaben Commerzbank</v>
          </cell>
          <cell r="E289">
            <v>180155.98</v>
          </cell>
          <cell r="F289">
            <v>465497.78</v>
          </cell>
          <cell r="H289">
            <v>869481.07</v>
          </cell>
          <cell r="J289">
            <v>1051761.92</v>
          </cell>
          <cell r="K289">
            <v>1187520</v>
          </cell>
          <cell r="L289">
            <v>1180110.02</v>
          </cell>
          <cell r="M289">
            <v>1125018.1299999999</v>
          </cell>
          <cell r="N289">
            <v>1072395.6299999999</v>
          </cell>
          <cell r="O289">
            <v>1015068.25</v>
          </cell>
          <cell r="P289">
            <v>1215928.7</v>
          </cell>
          <cell r="Q289">
            <v>1355650.53</v>
          </cell>
          <cell r="R289">
            <v>1328549.27</v>
          </cell>
          <cell r="S289">
            <v>1281505.1499999999</v>
          </cell>
        </row>
        <row r="290">
          <cell r="D290" t="str">
            <v>Barkasse</v>
          </cell>
          <cell r="E290">
            <v>0</v>
          </cell>
          <cell r="F290">
            <v>0</v>
          </cell>
          <cell r="H290">
            <v>0</v>
          </cell>
          <cell r="J290">
            <v>0</v>
          </cell>
          <cell r="K290">
            <v>0</v>
          </cell>
          <cell r="L290">
            <v>0</v>
          </cell>
          <cell r="M290">
            <v>0</v>
          </cell>
          <cell r="N290">
            <v>0</v>
          </cell>
          <cell r="O290">
            <v>0</v>
          </cell>
          <cell r="P290">
            <v>0</v>
          </cell>
          <cell r="Q290">
            <v>0</v>
          </cell>
          <cell r="R290">
            <v>0</v>
          </cell>
          <cell r="S290">
            <v>0</v>
          </cell>
        </row>
        <row r="291">
          <cell r="D291" t="str">
            <v>Noch nicht abgerechnete Vorschüsse</v>
          </cell>
          <cell r="E291">
            <v>0</v>
          </cell>
          <cell r="F291">
            <v>0</v>
          </cell>
          <cell r="H291">
            <v>0</v>
          </cell>
          <cell r="J291">
            <v>0</v>
          </cell>
          <cell r="K291">
            <v>0</v>
          </cell>
          <cell r="L291">
            <v>0</v>
          </cell>
          <cell r="M291">
            <v>0</v>
          </cell>
          <cell r="N291">
            <v>0</v>
          </cell>
          <cell r="O291">
            <v>0</v>
          </cell>
          <cell r="P291">
            <v>0</v>
          </cell>
          <cell r="Q291">
            <v>0</v>
          </cell>
          <cell r="R291">
            <v>0</v>
          </cell>
          <cell r="S291">
            <v>0</v>
          </cell>
        </row>
        <row r="292">
          <cell r="D292">
            <v>0</v>
          </cell>
          <cell r="H292">
            <v>0</v>
          </cell>
          <cell r="J292">
            <v>0</v>
          </cell>
          <cell r="K292">
            <v>0</v>
          </cell>
          <cell r="L292">
            <v>0</v>
          </cell>
          <cell r="M292">
            <v>0</v>
          </cell>
          <cell r="N292">
            <v>0</v>
          </cell>
          <cell r="O292">
            <v>0</v>
          </cell>
          <cell r="P292">
            <v>0</v>
          </cell>
          <cell r="Q292">
            <v>0</v>
          </cell>
          <cell r="R292">
            <v>0</v>
          </cell>
          <cell r="S292">
            <v>0</v>
          </cell>
        </row>
        <row r="293">
          <cell r="D293" t="str">
            <v>SUMME Geldvermögen</v>
          </cell>
          <cell r="E293">
            <v>180155.98</v>
          </cell>
          <cell r="F293">
            <v>465497.78</v>
          </cell>
          <cell r="H293">
            <v>869481.07</v>
          </cell>
          <cell r="J293">
            <v>1051761.92</v>
          </cell>
          <cell r="K293">
            <v>1187520</v>
          </cell>
          <cell r="L293">
            <v>1180110.02</v>
          </cell>
          <cell r="M293">
            <v>1125018.1299999999</v>
          </cell>
          <cell r="N293">
            <v>1072395.6299999999</v>
          </cell>
          <cell r="O293">
            <v>1015068.25</v>
          </cell>
          <cell r="P293">
            <v>1215928.7</v>
          </cell>
          <cell r="Q293">
            <v>1355650.53</v>
          </cell>
          <cell r="R293">
            <v>1328549.27</v>
          </cell>
          <cell r="S293">
            <v>1281505.1499999999</v>
          </cell>
        </row>
        <row r="294">
          <cell r="D294">
            <v>0</v>
          </cell>
          <cell r="H294">
            <v>0</v>
          </cell>
          <cell r="J294">
            <v>0</v>
          </cell>
          <cell r="K294">
            <v>0</v>
          </cell>
          <cell r="L294">
            <v>0</v>
          </cell>
          <cell r="M294">
            <v>0</v>
          </cell>
          <cell r="N294">
            <v>0</v>
          </cell>
          <cell r="O294">
            <v>0</v>
          </cell>
          <cell r="P294">
            <v>0</v>
          </cell>
          <cell r="Q294">
            <v>0</v>
          </cell>
          <cell r="R294">
            <v>0</v>
          </cell>
          <cell r="S294">
            <v>0</v>
          </cell>
        </row>
        <row r="295">
          <cell r="D295" t="str">
            <v>Aufteilung Geldvermögen</v>
          </cell>
          <cell r="H295">
            <v>0</v>
          </cell>
          <cell r="J295">
            <v>0</v>
          </cell>
          <cell r="K295">
            <v>0</v>
          </cell>
          <cell r="L295">
            <v>0</v>
          </cell>
          <cell r="M295">
            <v>0</v>
          </cell>
          <cell r="N295">
            <v>0</v>
          </cell>
          <cell r="O295">
            <v>0</v>
          </cell>
          <cell r="P295">
            <v>0</v>
          </cell>
          <cell r="Q295">
            <v>0</v>
          </cell>
          <cell r="R295">
            <v>0</v>
          </cell>
          <cell r="S295">
            <v>0</v>
          </cell>
        </row>
        <row r="296">
          <cell r="D296">
            <v>0</v>
          </cell>
          <cell r="H296">
            <v>0</v>
          </cell>
          <cell r="J296">
            <v>0</v>
          </cell>
          <cell r="K296">
            <v>0</v>
          </cell>
          <cell r="L296">
            <v>0</v>
          </cell>
          <cell r="M296">
            <v>0</v>
          </cell>
          <cell r="N296">
            <v>0</v>
          </cell>
          <cell r="O296">
            <v>0</v>
          </cell>
          <cell r="P296">
            <v>0</v>
          </cell>
          <cell r="Q296">
            <v>0</v>
          </cell>
          <cell r="R296">
            <v>0</v>
          </cell>
          <cell r="S296">
            <v>0</v>
          </cell>
        </row>
        <row r="297">
          <cell r="D297" t="str">
            <v>Kassenbestand (Einnahmen - Ausgaben)</v>
          </cell>
          <cell r="E297">
            <v>155.97999999999999</v>
          </cell>
          <cell r="F297">
            <v>285497.78000000003</v>
          </cell>
          <cell r="H297">
            <v>689481.06999999983</v>
          </cell>
          <cell r="J297">
            <v>871761.91999999993</v>
          </cell>
          <cell r="K297">
            <v>1007519.9999999999</v>
          </cell>
          <cell r="L297">
            <v>1000110.0199999999</v>
          </cell>
          <cell r="M297">
            <v>945018.13</v>
          </cell>
          <cell r="N297">
            <v>892395.63</v>
          </cell>
          <cell r="O297">
            <v>835068.24999999977</v>
          </cell>
          <cell r="P297">
            <v>1035928.7</v>
          </cell>
          <cell r="Q297">
            <v>1175650.5299999998</v>
          </cell>
          <cell r="R297">
            <v>1148549.27</v>
          </cell>
          <cell r="S297">
            <v>1101505.1499999997</v>
          </cell>
        </row>
        <row r="298">
          <cell r="D298" t="str">
            <v>Rücklagen</v>
          </cell>
          <cell r="E298">
            <v>115000</v>
          </cell>
          <cell r="F298">
            <v>115000</v>
          </cell>
          <cell r="H298">
            <v>115000</v>
          </cell>
          <cell r="J298">
            <v>115000</v>
          </cell>
          <cell r="K298">
            <v>115000</v>
          </cell>
          <cell r="L298">
            <v>115000</v>
          </cell>
          <cell r="M298">
            <v>115000</v>
          </cell>
          <cell r="N298">
            <v>115000</v>
          </cell>
          <cell r="O298">
            <v>115000</v>
          </cell>
          <cell r="P298">
            <v>115000</v>
          </cell>
          <cell r="Q298">
            <v>115000</v>
          </cell>
          <cell r="R298">
            <v>115000</v>
          </cell>
          <cell r="S298">
            <v>115000</v>
          </cell>
        </row>
        <row r="299">
          <cell r="D299" t="str">
            <v>Rücklage AStA Innovative Projekte</v>
          </cell>
          <cell r="E299">
            <v>5000</v>
          </cell>
          <cell r="F299">
            <v>5000</v>
          </cell>
          <cell r="H299">
            <v>5000</v>
          </cell>
          <cell r="J299">
            <v>5000</v>
          </cell>
          <cell r="K299">
            <v>5000</v>
          </cell>
          <cell r="L299">
            <v>5000</v>
          </cell>
          <cell r="M299">
            <v>5000</v>
          </cell>
          <cell r="N299">
            <v>5000</v>
          </cell>
          <cell r="O299">
            <v>5000</v>
          </cell>
          <cell r="P299">
            <v>5000</v>
          </cell>
          <cell r="Q299">
            <v>5000</v>
          </cell>
          <cell r="R299">
            <v>5000</v>
          </cell>
          <cell r="S299">
            <v>5000</v>
          </cell>
        </row>
        <row r="300">
          <cell r="D300" t="str">
            <v>Sonderrücklagen</v>
          </cell>
          <cell r="E300">
            <v>0</v>
          </cell>
          <cell r="F300">
            <v>60000</v>
          </cell>
          <cell r="H300">
            <v>60000</v>
          </cell>
          <cell r="J300">
            <v>60000</v>
          </cell>
          <cell r="K300">
            <v>60000</v>
          </cell>
          <cell r="L300">
            <v>60000</v>
          </cell>
          <cell r="M300">
            <v>60000</v>
          </cell>
          <cell r="N300">
            <v>60000</v>
          </cell>
          <cell r="O300">
            <v>60000</v>
          </cell>
          <cell r="P300">
            <v>60000</v>
          </cell>
          <cell r="Q300">
            <v>60000</v>
          </cell>
          <cell r="R300">
            <v>60000</v>
          </cell>
          <cell r="S300">
            <v>60000</v>
          </cell>
        </row>
        <row r="301">
          <cell r="D301" t="str">
            <v>Rücklage Wahlen</v>
          </cell>
          <cell r="E301">
            <v>60000</v>
          </cell>
          <cell r="F301">
            <v>0</v>
          </cell>
          <cell r="H301">
            <v>0</v>
          </cell>
          <cell r="J301">
            <v>0</v>
          </cell>
          <cell r="K301">
            <v>0</v>
          </cell>
          <cell r="L301">
            <v>0</v>
          </cell>
          <cell r="M301">
            <v>0</v>
          </cell>
          <cell r="N301">
            <v>0</v>
          </cell>
          <cell r="O301">
            <v>0</v>
          </cell>
          <cell r="P301">
            <v>0</v>
          </cell>
          <cell r="Q301">
            <v>0</v>
          </cell>
          <cell r="R301">
            <v>0</v>
          </cell>
          <cell r="S301">
            <v>0</v>
          </cell>
        </row>
        <row r="302">
          <cell r="D302" t="str">
            <v>SUMME Aufteilung Geldvermögen</v>
          </cell>
          <cell r="E302">
            <v>180155.97999999998</v>
          </cell>
          <cell r="F302">
            <v>465497.78</v>
          </cell>
          <cell r="H302">
            <v>869481.06999999983</v>
          </cell>
          <cell r="J302">
            <v>1051761.92</v>
          </cell>
          <cell r="K302">
            <v>1187520</v>
          </cell>
          <cell r="L302">
            <v>1180110.02</v>
          </cell>
          <cell r="M302">
            <v>1125018.1299999999</v>
          </cell>
          <cell r="N302">
            <v>1072395.6299999999</v>
          </cell>
          <cell r="O302">
            <v>1015068.2499999998</v>
          </cell>
          <cell r="P302">
            <v>1215928.7</v>
          </cell>
          <cell r="Q302">
            <v>1355650.5299999998</v>
          </cell>
          <cell r="R302">
            <v>1328549.27</v>
          </cell>
          <cell r="S302">
            <v>1281505.1499999997</v>
          </cell>
        </row>
        <row r="303">
          <cell r="D303">
            <v>0</v>
          </cell>
        </row>
        <row r="304">
          <cell r="D304" t="str">
            <v>Verfügbare Mittel</v>
          </cell>
        </row>
        <row r="305">
          <cell r="D305">
            <v>0</v>
          </cell>
        </row>
        <row r="306">
          <cell r="D306" t="str">
            <v>Geldvermögen</v>
          </cell>
          <cell r="E306">
            <v>180155.98</v>
          </cell>
        </row>
        <row r="307">
          <cell r="D307" t="str">
            <v>./. Betriebsmittelrücklage (§ 12 Abs. 2 HWVO)
 -  5 % Studierendenschaftsbeiträge</v>
          </cell>
          <cell r="E307">
            <v>56000</v>
          </cell>
        </row>
        <row r="308">
          <cell r="D308" t="str">
            <v>= freie Mittel</v>
          </cell>
          <cell r="E308">
            <v>124155.98000000001</v>
          </cell>
        </row>
        <row r="309">
          <cell r="D309" t="str">
            <v>./. Rücklage für Wahlen
(Ansatz: 18 % Studierendenschaftsbeiträge)
abzgl. Rücklage Wahlen</v>
          </cell>
          <cell r="E309">
            <v>201600</v>
          </cell>
        </row>
        <row r="310">
          <cell r="D310" t="str">
            <v>= ungebundene Mittel</v>
          </cell>
          <cell r="E310">
            <v>-77444.01999999999</v>
          </cell>
        </row>
        <row r="311">
          <cell r="D31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ushalt"/>
      <sheetName val="HHJ_2023_2024"/>
      <sheetName val="OP"/>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row r="8">
          <cell r="A8" t="str">
            <v>111.10</v>
          </cell>
          <cell r="B8">
            <v>3</v>
          </cell>
          <cell r="C8" t="str">
            <v>341.00 (x0)</v>
          </cell>
          <cell r="D8" t="str">
            <v>Wintersemester</v>
          </cell>
          <cell r="E8">
            <v>0</v>
          </cell>
          <cell r="F8">
            <v>0</v>
          </cell>
          <cell r="G8">
            <v>548100</v>
          </cell>
          <cell r="H8">
            <v>1066613.3799999999</v>
          </cell>
          <cell r="I8">
            <v>500850</v>
          </cell>
          <cell r="J8">
            <v>246610.37</v>
          </cell>
          <cell r="K8">
            <v>444128.85</v>
          </cell>
          <cell r="L8">
            <v>489244.77</v>
          </cell>
          <cell r="M8">
            <v>489848.77</v>
          </cell>
          <cell r="N8">
            <v>496156.03</v>
          </cell>
          <cell r="O8">
            <v>520347.98</v>
          </cell>
          <cell r="P8">
            <v>777562.83</v>
          </cell>
          <cell r="Q8">
            <v>987928.29</v>
          </cell>
          <cell r="R8">
            <v>1017354.82</v>
          </cell>
          <cell r="S8">
            <v>1023380.82</v>
          </cell>
          <cell r="T8">
            <v>0</v>
          </cell>
          <cell r="U8">
            <v>0</v>
          </cell>
          <cell r="V8">
            <v>0</v>
          </cell>
          <cell r="W8">
            <v>0</v>
          </cell>
        </row>
        <row r="9">
          <cell r="A9" t="str">
            <v>111.20</v>
          </cell>
          <cell r="B9">
            <v>4</v>
          </cell>
          <cell r="C9" t="str">
            <v>341.00 (x1)</v>
          </cell>
          <cell r="D9" t="str">
            <v>Sommersemester</v>
          </cell>
          <cell r="E9">
            <v>560000</v>
          </cell>
          <cell r="F9">
            <v>578722.64</v>
          </cell>
          <cell r="G9">
            <v>495900</v>
          </cell>
          <cell r="H9">
            <v>0</v>
          </cell>
          <cell r="I9">
            <v>251750</v>
          </cell>
          <cell r="J9">
            <v>0</v>
          </cell>
          <cell r="K9">
            <v>0</v>
          </cell>
          <cell r="L9">
            <v>0</v>
          </cell>
          <cell r="M9">
            <v>0</v>
          </cell>
          <cell r="N9">
            <v>0</v>
          </cell>
          <cell r="O9">
            <v>0</v>
          </cell>
          <cell r="P9">
            <v>0</v>
          </cell>
          <cell r="Q9">
            <v>0</v>
          </cell>
          <cell r="R9">
            <v>0</v>
          </cell>
          <cell r="S9">
            <v>0</v>
          </cell>
          <cell r="T9">
            <v>0</v>
          </cell>
          <cell r="U9">
            <v>0</v>
          </cell>
          <cell r="V9">
            <v>0</v>
          </cell>
          <cell r="W9">
            <v>0</v>
          </cell>
        </row>
        <row r="10">
          <cell r="A10">
            <v>0</v>
          </cell>
          <cell r="B10">
            <v>5</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row>
        <row r="11">
          <cell r="A11" t="str">
            <v>119.00</v>
          </cell>
          <cell r="B11">
            <v>6</v>
          </cell>
          <cell r="C11">
            <v>0</v>
          </cell>
          <cell r="D11" t="str">
            <v>Vermischte Einnahmen</v>
          </cell>
          <cell r="E11">
            <v>6000</v>
          </cell>
          <cell r="F11">
            <v>6205</v>
          </cell>
          <cell r="G11">
            <v>2000</v>
          </cell>
          <cell r="H11">
            <v>3805</v>
          </cell>
          <cell r="I11">
            <v>4500</v>
          </cell>
          <cell r="J11">
            <v>0</v>
          </cell>
          <cell r="K11">
            <v>0</v>
          </cell>
          <cell r="L11">
            <v>300</v>
          </cell>
          <cell r="M11">
            <v>300</v>
          </cell>
          <cell r="N11">
            <v>300</v>
          </cell>
          <cell r="O11">
            <v>300</v>
          </cell>
          <cell r="P11">
            <v>300</v>
          </cell>
          <cell r="Q11">
            <v>300</v>
          </cell>
          <cell r="R11">
            <v>300</v>
          </cell>
          <cell r="S11">
            <v>300</v>
          </cell>
          <cell r="T11">
            <v>0</v>
          </cell>
          <cell r="U11">
            <v>0</v>
          </cell>
          <cell r="V11">
            <v>0</v>
          </cell>
          <cell r="W11">
            <v>0</v>
          </cell>
        </row>
        <row r="12">
          <cell r="A12" t="str">
            <v>119.10</v>
          </cell>
          <cell r="B12">
            <v>7</v>
          </cell>
          <cell r="C12" t="str">
            <v>125.10, 125.20</v>
          </cell>
          <cell r="D12" t="str">
            <v>Werbung und Anzeigen</v>
          </cell>
          <cell r="E12">
            <v>6000</v>
          </cell>
          <cell r="F12">
            <v>6205</v>
          </cell>
          <cell r="G12">
            <v>2000</v>
          </cell>
          <cell r="H12">
            <v>3805</v>
          </cell>
          <cell r="I12">
            <v>4000</v>
          </cell>
          <cell r="J12">
            <v>0</v>
          </cell>
          <cell r="K12">
            <v>0</v>
          </cell>
          <cell r="L12">
            <v>300</v>
          </cell>
          <cell r="M12">
            <v>300</v>
          </cell>
          <cell r="N12">
            <v>300</v>
          </cell>
          <cell r="O12">
            <v>300</v>
          </cell>
          <cell r="P12">
            <v>300</v>
          </cell>
          <cell r="Q12">
            <v>300</v>
          </cell>
          <cell r="R12">
            <v>300</v>
          </cell>
          <cell r="S12">
            <v>300</v>
          </cell>
          <cell r="T12">
            <v>0</v>
          </cell>
          <cell r="U12">
            <v>0</v>
          </cell>
          <cell r="V12">
            <v>0</v>
          </cell>
          <cell r="W12">
            <v>0</v>
          </cell>
        </row>
        <row r="13">
          <cell r="A13" t="str">
            <v>119.20</v>
          </cell>
          <cell r="B13">
            <v>8</v>
          </cell>
          <cell r="C13">
            <v>119.21</v>
          </cell>
          <cell r="D13" t="str">
            <v>Spenden</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A14" t="str">
            <v>119.30</v>
          </cell>
          <cell r="B14">
            <v>9</v>
          </cell>
          <cell r="C14" t="str">
            <v>162.00</v>
          </cell>
          <cell r="D14" t="str">
            <v>Zinsen</v>
          </cell>
          <cell r="E14">
            <v>0</v>
          </cell>
          <cell r="F14">
            <v>0</v>
          </cell>
          <cell r="G14">
            <v>0</v>
          </cell>
          <cell r="H14">
            <v>0</v>
          </cell>
          <cell r="I14">
            <v>500</v>
          </cell>
          <cell r="J14">
            <v>0</v>
          </cell>
          <cell r="K14">
            <v>0</v>
          </cell>
          <cell r="L14">
            <v>0</v>
          </cell>
          <cell r="M14">
            <v>0</v>
          </cell>
          <cell r="N14">
            <v>0</v>
          </cell>
          <cell r="O14">
            <v>0</v>
          </cell>
          <cell r="P14">
            <v>0</v>
          </cell>
          <cell r="Q14">
            <v>0</v>
          </cell>
          <cell r="R14">
            <v>0</v>
          </cell>
          <cell r="S14">
            <v>0</v>
          </cell>
          <cell r="T14">
            <v>0</v>
          </cell>
          <cell r="U14">
            <v>0</v>
          </cell>
          <cell r="V14">
            <v>0</v>
          </cell>
          <cell r="W14">
            <v>0</v>
          </cell>
        </row>
        <row r="15">
          <cell r="A15" t="str">
            <v>119.40</v>
          </cell>
          <cell r="B15">
            <v>9</v>
          </cell>
          <cell r="C15" t="str">
            <v>119.22</v>
          </cell>
          <cell r="D15" t="str">
            <v>Sonstige</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row>
        <row r="16">
          <cell r="B16">
            <v>10</v>
          </cell>
          <cell r="H16">
            <v>0</v>
          </cell>
          <cell r="J16">
            <v>0</v>
          </cell>
          <cell r="K16">
            <v>0</v>
          </cell>
          <cell r="L16">
            <v>0</v>
          </cell>
          <cell r="M16">
            <v>0</v>
          </cell>
          <cell r="N16">
            <v>0</v>
          </cell>
          <cell r="O16">
            <v>0</v>
          </cell>
          <cell r="P16">
            <v>0</v>
          </cell>
          <cell r="Q16">
            <v>0</v>
          </cell>
          <cell r="R16">
            <v>0</v>
          </cell>
          <cell r="S16">
            <v>0</v>
          </cell>
          <cell r="T16">
            <v>0</v>
          </cell>
          <cell r="U16">
            <v>0</v>
          </cell>
          <cell r="V16">
            <v>0</v>
          </cell>
          <cell r="W16">
            <v>0</v>
          </cell>
        </row>
        <row r="17">
          <cell r="B17" t="e">
            <v>#REF!</v>
          </cell>
          <cell r="H17">
            <v>0</v>
          </cell>
          <cell r="J17">
            <v>0</v>
          </cell>
          <cell r="K17">
            <v>0</v>
          </cell>
          <cell r="L17">
            <v>0</v>
          </cell>
          <cell r="M17">
            <v>0</v>
          </cell>
          <cell r="N17">
            <v>0</v>
          </cell>
          <cell r="O17">
            <v>0</v>
          </cell>
          <cell r="P17">
            <v>0</v>
          </cell>
          <cell r="Q17">
            <v>0</v>
          </cell>
          <cell r="R17">
            <v>0</v>
          </cell>
          <cell r="S17">
            <v>0</v>
          </cell>
          <cell r="T17">
            <v>0</v>
          </cell>
          <cell r="U17">
            <v>0</v>
          </cell>
          <cell r="V17">
            <v>0</v>
          </cell>
          <cell r="W17">
            <v>0</v>
          </cell>
        </row>
        <row r="18">
          <cell r="A18" t="str">
            <v>129.00</v>
          </cell>
          <cell r="B18" t="e">
            <v>#REF!</v>
          </cell>
          <cell r="C18">
            <v>0</v>
          </cell>
          <cell r="D18" t="str">
            <v>Teilnahmebeiträge</v>
          </cell>
          <cell r="E18">
            <v>11625</v>
          </cell>
          <cell r="F18">
            <v>0</v>
          </cell>
          <cell r="G18">
            <v>10250</v>
          </cell>
          <cell r="H18">
            <v>800</v>
          </cell>
          <cell r="I18">
            <v>2950</v>
          </cell>
          <cell r="J18">
            <v>466.55</v>
          </cell>
          <cell r="K18">
            <v>533.20000000000005</v>
          </cell>
          <cell r="L18">
            <v>533.20000000000005</v>
          </cell>
          <cell r="M18">
            <v>533.20000000000005</v>
          </cell>
          <cell r="N18">
            <v>533.20000000000005</v>
          </cell>
          <cell r="O18">
            <v>533.20000000000005</v>
          </cell>
          <cell r="P18">
            <v>533.20000000000005</v>
          </cell>
          <cell r="Q18">
            <v>833.2</v>
          </cell>
          <cell r="R18">
            <v>1861.2</v>
          </cell>
          <cell r="S18">
            <v>1861.2</v>
          </cell>
          <cell r="T18">
            <v>0</v>
          </cell>
          <cell r="U18">
            <v>0</v>
          </cell>
          <cell r="V18">
            <v>0</v>
          </cell>
          <cell r="W18">
            <v>0</v>
          </cell>
        </row>
        <row r="19">
          <cell r="A19" t="str">
            <v>129.10</v>
          </cell>
          <cell r="B19" t="e">
            <v>#REF!</v>
          </cell>
          <cell r="C19" t="str">
            <v>129.70 (x0,2)</v>
          </cell>
          <cell r="D19" t="str">
            <v>AStA Seminare</v>
          </cell>
          <cell r="E19">
            <v>500</v>
          </cell>
          <cell r="F19">
            <v>0</v>
          </cell>
          <cell r="G19">
            <v>5200</v>
          </cell>
          <cell r="H19">
            <v>160</v>
          </cell>
          <cell r="I19">
            <v>2500</v>
          </cell>
          <cell r="J19">
            <v>93.31</v>
          </cell>
          <cell r="K19">
            <v>106.64000000000001</v>
          </cell>
          <cell r="L19">
            <v>106.64000000000001</v>
          </cell>
          <cell r="M19">
            <v>106.64000000000001</v>
          </cell>
          <cell r="N19">
            <v>106.64000000000001</v>
          </cell>
          <cell r="O19">
            <v>106.64000000000001</v>
          </cell>
          <cell r="P19">
            <v>106.64000000000001</v>
          </cell>
          <cell r="Q19">
            <v>166.64000000000001</v>
          </cell>
          <cell r="R19">
            <v>372.24</v>
          </cell>
          <cell r="S19">
            <v>372.24</v>
          </cell>
          <cell r="T19">
            <v>0</v>
          </cell>
          <cell r="U19">
            <v>0</v>
          </cell>
          <cell r="V19">
            <v>0</v>
          </cell>
          <cell r="W19">
            <v>0</v>
          </cell>
        </row>
        <row r="20">
          <cell r="A20" t="str">
            <v>129.20</v>
          </cell>
          <cell r="B20" t="e">
            <v>#REF!</v>
          </cell>
          <cell r="C20" t="str">
            <v>129.70 (x0,8), 129.80 (x0,25), 129.90 (x0,55)</v>
          </cell>
          <cell r="D20" t="str">
            <v>AStA-Veranstaltungen</v>
          </cell>
          <cell r="E20">
            <v>11125</v>
          </cell>
          <cell r="F20">
            <v>0</v>
          </cell>
          <cell r="G20">
            <v>5050</v>
          </cell>
          <cell r="H20">
            <v>640</v>
          </cell>
          <cell r="I20">
            <v>450</v>
          </cell>
          <cell r="J20">
            <v>373.24</v>
          </cell>
          <cell r="K20">
            <v>426.56000000000006</v>
          </cell>
          <cell r="L20">
            <v>426.56000000000006</v>
          </cell>
          <cell r="M20">
            <v>426.56000000000006</v>
          </cell>
          <cell r="N20">
            <v>426.56000000000006</v>
          </cell>
          <cell r="O20">
            <v>426.56000000000006</v>
          </cell>
          <cell r="P20">
            <v>426.56000000000006</v>
          </cell>
          <cell r="Q20">
            <v>666.56000000000006</v>
          </cell>
          <cell r="R20">
            <v>1488.96</v>
          </cell>
          <cell r="S20">
            <v>1488.96</v>
          </cell>
          <cell r="T20">
            <v>0</v>
          </cell>
          <cell r="U20">
            <v>0</v>
          </cell>
          <cell r="V20">
            <v>0</v>
          </cell>
          <cell r="W20">
            <v>0</v>
          </cell>
        </row>
        <row r="21">
          <cell r="A21" t="str">
            <v>129.30</v>
          </cell>
          <cell r="B21" t="e">
            <v>#REF!</v>
          </cell>
          <cell r="C21" t="str">
            <v>n.a.</v>
          </cell>
          <cell r="D21" t="str">
            <v>Stupa-Veranstaltungen</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row>
        <row r="22">
          <cell r="B22">
            <v>17</v>
          </cell>
          <cell r="H22">
            <v>0</v>
          </cell>
          <cell r="J22">
            <v>0</v>
          </cell>
          <cell r="K22">
            <v>0</v>
          </cell>
          <cell r="L22">
            <v>0</v>
          </cell>
          <cell r="M22">
            <v>0</v>
          </cell>
          <cell r="N22">
            <v>0</v>
          </cell>
          <cell r="O22">
            <v>0</v>
          </cell>
          <cell r="P22">
            <v>0</v>
          </cell>
          <cell r="Q22">
            <v>0</v>
          </cell>
          <cell r="R22">
            <v>0</v>
          </cell>
          <cell r="S22">
            <v>0</v>
          </cell>
          <cell r="T22">
            <v>0</v>
          </cell>
          <cell r="U22">
            <v>0</v>
          </cell>
          <cell r="V22">
            <v>0</v>
          </cell>
          <cell r="W22">
            <v>0</v>
          </cell>
        </row>
        <row r="23">
          <cell r="A23" t="str">
            <v>130.00</v>
          </cell>
          <cell r="B23">
            <v>18</v>
          </cell>
          <cell r="C23">
            <v>0</v>
          </cell>
          <cell r="D23" t="str">
            <v>Einnahmen aus Bewirtung</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row>
        <row r="24">
          <cell r="A24" t="str">
            <v>130.10</v>
          </cell>
          <cell r="B24">
            <v>19</v>
          </cell>
          <cell r="C24" t="str">
            <v>n.a.</v>
          </cell>
          <cell r="D24" t="str">
            <v>AStA</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row>
        <row r="25">
          <cell r="A25" t="str">
            <v>130.20</v>
          </cell>
          <cell r="B25">
            <v>20</v>
          </cell>
          <cell r="C25" t="str">
            <v>n.a.</v>
          </cell>
          <cell r="D25" t="str">
            <v>SP-Veranstaltungen</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row>
        <row r="26">
          <cell r="B26">
            <v>21</v>
          </cell>
          <cell r="H26">
            <v>0</v>
          </cell>
          <cell r="J26">
            <v>0</v>
          </cell>
          <cell r="K26">
            <v>0</v>
          </cell>
          <cell r="L26">
            <v>0</v>
          </cell>
          <cell r="M26">
            <v>0</v>
          </cell>
          <cell r="N26">
            <v>0</v>
          </cell>
          <cell r="O26">
            <v>0</v>
          </cell>
          <cell r="P26">
            <v>0</v>
          </cell>
          <cell r="Q26">
            <v>0</v>
          </cell>
          <cell r="R26">
            <v>0</v>
          </cell>
          <cell r="S26">
            <v>0</v>
          </cell>
          <cell r="T26">
            <v>0</v>
          </cell>
          <cell r="U26">
            <v>0</v>
          </cell>
          <cell r="V26">
            <v>0</v>
          </cell>
          <cell r="W26">
            <v>0</v>
          </cell>
        </row>
        <row r="27">
          <cell r="A27" t="str">
            <v>140.00</v>
          </cell>
          <cell r="B27">
            <v>22</v>
          </cell>
          <cell r="C27">
            <v>0</v>
          </cell>
          <cell r="D27" t="str">
            <v>Einnahmen aus Förderungen und Kooperationen</v>
          </cell>
          <cell r="E27">
            <v>15375</v>
          </cell>
          <cell r="F27">
            <v>0</v>
          </cell>
          <cell r="G27">
            <v>17100</v>
          </cell>
          <cell r="H27">
            <v>0</v>
          </cell>
          <cell r="I27">
            <v>9176.25</v>
          </cell>
          <cell r="J27">
            <v>0</v>
          </cell>
          <cell r="K27">
            <v>0</v>
          </cell>
          <cell r="L27">
            <v>0</v>
          </cell>
          <cell r="M27">
            <v>0</v>
          </cell>
          <cell r="N27">
            <v>0</v>
          </cell>
          <cell r="O27">
            <v>0</v>
          </cell>
          <cell r="P27">
            <v>0</v>
          </cell>
          <cell r="Q27">
            <v>0</v>
          </cell>
          <cell r="R27">
            <v>0</v>
          </cell>
          <cell r="S27">
            <v>0</v>
          </cell>
          <cell r="T27">
            <v>0</v>
          </cell>
          <cell r="U27">
            <v>0</v>
          </cell>
          <cell r="V27">
            <v>0</v>
          </cell>
          <cell r="W27">
            <v>0</v>
          </cell>
        </row>
        <row r="28">
          <cell r="A28" t="str">
            <v>140.10</v>
          </cell>
          <cell r="B28">
            <v>23</v>
          </cell>
          <cell r="C28" t="str">
            <v>129.80 (x0,75)</v>
          </cell>
          <cell r="D28" t="str">
            <v>Förderungen Inkl. U. Gleichstellung</v>
          </cell>
          <cell r="E28">
            <v>10875</v>
          </cell>
          <cell r="F28">
            <v>0</v>
          </cell>
          <cell r="G28">
            <v>10800</v>
          </cell>
          <cell r="H28">
            <v>0</v>
          </cell>
          <cell r="I28">
            <v>9176.25</v>
          </cell>
          <cell r="J28">
            <v>0</v>
          </cell>
          <cell r="K28">
            <v>0</v>
          </cell>
          <cell r="L28">
            <v>0</v>
          </cell>
          <cell r="M28">
            <v>0</v>
          </cell>
          <cell r="N28">
            <v>0</v>
          </cell>
          <cell r="O28">
            <v>0</v>
          </cell>
          <cell r="P28">
            <v>0</v>
          </cell>
          <cell r="Q28">
            <v>0</v>
          </cell>
          <cell r="R28">
            <v>0</v>
          </cell>
          <cell r="S28">
            <v>0</v>
          </cell>
          <cell r="T28">
            <v>0</v>
          </cell>
          <cell r="U28">
            <v>0</v>
          </cell>
          <cell r="V28">
            <v>0</v>
          </cell>
          <cell r="W28">
            <v>0</v>
          </cell>
        </row>
        <row r="29">
          <cell r="A29" t="str">
            <v>140.20</v>
          </cell>
          <cell r="B29">
            <v>24</v>
          </cell>
          <cell r="C29" t="str">
            <v>129.90 (x0,45)</v>
          </cell>
          <cell r="D29" t="str">
            <v>Förderungen Hopo</v>
          </cell>
          <cell r="E29">
            <v>4500</v>
          </cell>
          <cell r="F29">
            <v>0</v>
          </cell>
          <cell r="G29">
            <v>4800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row>
        <row r="30">
          <cell r="A30" t="str">
            <v>140.30</v>
          </cell>
          <cell r="B30">
            <v>25</v>
          </cell>
          <cell r="C30" t="str">
            <v>n.a.</v>
          </cell>
          <cell r="D30" t="str">
            <v>Sonstige Förderungen und Kooperationen</v>
          </cell>
          <cell r="E30">
            <v>0</v>
          </cell>
          <cell r="F30">
            <v>0</v>
          </cell>
          <cell r="G30">
            <v>1500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row>
        <row r="31">
          <cell r="B31">
            <v>26</v>
          </cell>
          <cell r="H31">
            <v>0</v>
          </cell>
          <cell r="J31">
            <v>0</v>
          </cell>
          <cell r="K31">
            <v>0</v>
          </cell>
          <cell r="L31">
            <v>0</v>
          </cell>
          <cell r="M31">
            <v>0</v>
          </cell>
          <cell r="N31">
            <v>0</v>
          </cell>
          <cell r="O31">
            <v>0</v>
          </cell>
          <cell r="P31">
            <v>0</v>
          </cell>
          <cell r="Q31">
            <v>0</v>
          </cell>
          <cell r="R31">
            <v>0</v>
          </cell>
          <cell r="S31">
            <v>0</v>
          </cell>
          <cell r="T31">
            <v>0</v>
          </cell>
          <cell r="U31">
            <v>0</v>
          </cell>
          <cell r="V31">
            <v>0</v>
          </cell>
          <cell r="W31">
            <v>0</v>
          </cell>
        </row>
        <row r="32">
          <cell r="A32" t="str">
            <v>182.00</v>
          </cell>
          <cell r="B32">
            <v>27</v>
          </cell>
          <cell r="C32">
            <v>0</v>
          </cell>
          <cell r="D32" t="str">
            <v>Darlehensrückflüsse</v>
          </cell>
          <cell r="E32">
            <v>7000</v>
          </cell>
          <cell r="F32">
            <v>6229.55</v>
          </cell>
          <cell r="G32">
            <v>3600</v>
          </cell>
          <cell r="H32">
            <v>5262</v>
          </cell>
          <cell r="I32">
            <v>5000</v>
          </cell>
          <cell r="J32">
            <v>184</v>
          </cell>
          <cell r="K32">
            <v>918</v>
          </cell>
          <cell r="L32">
            <v>1132</v>
          </cell>
          <cell r="M32">
            <v>1524</v>
          </cell>
          <cell r="N32">
            <v>1698</v>
          </cell>
          <cell r="O32">
            <v>1840</v>
          </cell>
          <cell r="P32">
            <v>1982</v>
          </cell>
          <cell r="Q32">
            <v>2094</v>
          </cell>
          <cell r="R32">
            <v>2316</v>
          </cell>
          <cell r="S32">
            <v>2386</v>
          </cell>
          <cell r="T32">
            <v>0</v>
          </cell>
          <cell r="U32">
            <v>0</v>
          </cell>
          <cell r="V32">
            <v>0</v>
          </cell>
          <cell r="W32">
            <v>0</v>
          </cell>
        </row>
        <row r="33">
          <cell r="A33" t="str">
            <v>182.10</v>
          </cell>
          <cell r="B33">
            <v>28</v>
          </cell>
          <cell r="C33" t="str">
            <v>182.00</v>
          </cell>
          <cell r="D33" t="str">
            <v>Aus Darlehen</v>
          </cell>
          <cell r="E33">
            <v>7000</v>
          </cell>
          <cell r="F33">
            <v>6229.55</v>
          </cell>
          <cell r="G33">
            <v>3600</v>
          </cell>
          <cell r="H33">
            <v>5262</v>
          </cell>
          <cell r="I33">
            <v>5000</v>
          </cell>
          <cell r="J33">
            <v>184</v>
          </cell>
          <cell r="K33">
            <v>918</v>
          </cell>
          <cell r="L33">
            <v>1132</v>
          </cell>
          <cell r="M33">
            <v>1524</v>
          </cell>
          <cell r="N33">
            <v>1698</v>
          </cell>
          <cell r="O33">
            <v>1840</v>
          </cell>
          <cell r="P33">
            <v>1982</v>
          </cell>
          <cell r="Q33">
            <v>2094</v>
          </cell>
          <cell r="R33">
            <v>2316</v>
          </cell>
          <cell r="S33">
            <v>2386</v>
          </cell>
          <cell r="T33">
            <v>0</v>
          </cell>
          <cell r="U33">
            <v>0</v>
          </cell>
          <cell r="V33">
            <v>0</v>
          </cell>
          <cell r="W33">
            <v>0</v>
          </cell>
        </row>
        <row r="34">
          <cell r="A34" t="str">
            <v>182.20</v>
          </cell>
          <cell r="B34">
            <v>29</v>
          </cell>
          <cell r="C34" t="str">
            <v>n.a.</v>
          </cell>
          <cell r="D34" t="str">
            <v>Aus Internationalisierungsdarlehen</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row>
        <row r="35">
          <cell r="B35">
            <v>30</v>
          </cell>
          <cell r="H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6">
          <cell r="A36" t="str">
            <v>Plan 2</v>
          </cell>
          <cell r="B36">
            <v>31</v>
          </cell>
          <cell r="C36">
            <v>0</v>
          </cell>
          <cell r="D36" t="str">
            <v>Einnahmen Fachschaften</v>
          </cell>
          <cell r="E36">
            <v>85000</v>
          </cell>
          <cell r="F36">
            <v>89402</v>
          </cell>
          <cell r="G36">
            <v>146529.5</v>
          </cell>
          <cell r="H36">
            <v>71915.37</v>
          </cell>
          <cell r="I36">
            <v>118160</v>
          </cell>
          <cell r="J36">
            <v>1091.0999999999999</v>
          </cell>
          <cell r="K36">
            <v>6327.5</v>
          </cell>
          <cell r="L36">
            <v>9421.2999999999993</v>
          </cell>
          <cell r="M36">
            <v>30211.200000000001</v>
          </cell>
          <cell r="N36">
            <v>39805.199999999997</v>
          </cell>
          <cell r="O36">
            <v>41515.800000000003</v>
          </cell>
          <cell r="P36">
            <v>43835.4</v>
          </cell>
          <cell r="Q36">
            <v>45963.6</v>
          </cell>
          <cell r="R36">
            <v>52806.6</v>
          </cell>
          <cell r="S36">
            <v>56790.400000000001</v>
          </cell>
          <cell r="T36">
            <v>0</v>
          </cell>
          <cell r="U36">
            <v>0</v>
          </cell>
          <cell r="V36">
            <v>0</v>
          </cell>
          <cell r="W36">
            <v>0</v>
          </cell>
        </row>
        <row r="37">
          <cell r="A37" t="str">
            <v>210.00</v>
          </cell>
          <cell r="B37">
            <v>32</v>
          </cell>
          <cell r="C37">
            <v>0</v>
          </cell>
          <cell r="D37" t="str">
            <v>Teilnahmebeiträge Seminare Fachschaften</v>
          </cell>
          <cell r="E37">
            <v>85000</v>
          </cell>
          <cell r="F37">
            <v>89402</v>
          </cell>
          <cell r="G37">
            <v>145329.5</v>
          </cell>
          <cell r="H37">
            <v>71915.37</v>
          </cell>
          <cell r="I37">
            <v>117660</v>
          </cell>
          <cell r="J37">
            <v>1091.0999999999999</v>
          </cell>
          <cell r="K37">
            <v>6327.5</v>
          </cell>
          <cell r="L37">
            <v>9421.2999999999993</v>
          </cell>
          <cell r="M37">
            <v>30211.200000000001</v>
          </cell>
          <cell r="N37">
            <v>39805.199999999997</v>
          </cell>
          <cell r="O37">
            <v>41515.800000000003</v>
          </cell>
          <cell r="P37">
            <v>43835.4</v>
          </cell>
          <cell r="Q37">
            <v>45963.6</v>
          </cell>
          <cell r="R37">
            <v>52806.6</v>
          </cell>
          <cell r="S37">
            <v>56790.400000000001</v>
          </cell>
          <cell r="T37">
            <v>0</v>
          </cell>
          <cell r="U37">
            <v>0</v>
          </cell>
          <cell r="V37">
            <v>0</v>
          </cell>
          <cell r="W37">
            <v>0</v>
          </cell>
        </row>
        <row r="38">
          <cell r="A38" t="str">
            <v>210.10</v>
          </cell>
          <cell r="B38">
            <v>33</v>
          </cell>
          <cell r="C38" t="str">
            <v>129.10</v>
          </cell>
          <cell r="D38" t="str">
            <v>FSR WiWi</v>
          </cell>
          <cell r="E38">
            <v>23000</v>
          </cell>
          <cell r="F38">
            <v>37605</v>
          </cell>
          <cell r="G38">
            <v>56381</v>
          </cell>
          <cell r="H38">
            <v>37655.370000000003</v>
          </cell>
          <cell r="I38">
            <v>46150</v>
          </cell>
          <cell r="J38">
            <v>286.10000000000002</v>
          </cell>
          <cell r="K38">
            <v>4627.5</v>
          </cell>
          <cell r="L38">
            <v>7721.3</v>
          </cell>
          <cell r="M38">
            <v>16976.2</v>
          </cell>
          <cell r="N38">
            <v>22965.200000000001</v>
          </cell>
          <cell r="O38">
            <v>23615.8</v>
          </cell>
          <cell r="P38">
            <v>23815.4</v>
          </cell>
          <cell r="Q38">
            <v>24713.599999999999</v>
          </cell>
          <cell r="R38">
            <v>30701.599999999999</v>
          </cell>
          <cell r="S38">
            <v>33795.4</v>
          </cell>
          <cell r="T38">
            <v>0</v>
          </cell>
          <cell r="U38">
            <v>0</v>
          </cell>
          <cell r="V38">
            <v>0</v>
          </cell>
          <cell r="W38">
            <v>0</v>
          </cell>
        </row>
        <row r="39">
          <cell r="A39" t="str">
            <v>210.20</v>
          </cell>
          <cell r="B39">
            <v>34</v>
          </cell>
          <cell r="C39" t="str">
            <v>129.20</v>
          </cell>
          <cell r="D39" t="str">
            <v>FSR KSW</v>
          </cell>
          <cell r="E39">
            <v>1500</v>
          </cell>
          <cell r="F39">
            <v>318</v>
          </cell>
          <cell r="G39">
            <v>10576</v>
          </cell>
          <cell r="H39">
            <v>2690</v>
          </cell>
          <cell r="I39">
            <v>8510</v>
          </cell>
          <cell r="J39">
            <v>945</v>
          </cell>
          <cell r="K39">
            <v>1065</v>
          </cell>
          <cell r="L39">
            <v>1065</v>
          </cell>
          <cell r="M39">
            <v>1065</v>
          </cell>
          <cell r="N39">
            <v>1065</v>
          </cell>
          <cell r="O39">
            <v>1275</v>
          </cell>
          <cell r="P39">
            <v>2040</v>
          </cell>
          <cell r="Q39">
            <v>2205</v>
          </cell>
          <cell r="R39">
            <v>2520</v>
          </cell>
          <cell r="S39">
            <v>2580</v>
          </cell>
          <cell r="T39">
            <v>0</v>
          </cell>
          <cell r="U39">
            <v>0</v>
          </cell>
          <cell r="V39">
            <v>0</v>
          </cell>
          <cell r="W39">
            <v>0</v>
          </cell>
        </row>
        <row r="40">
          <cell r="A40" t="str">
            <v>210.30</v>
          </cell>
          <cell r="B40">
            <v>35</v>
          </cell>
          <cell r="C40" t="str">
            <v>129.60</v>
          </cell>
          <cell r="D40" t="str">
            <v>FSR PSY</v>
          </cell>
          <cell r="E40">
            <v>24000</v>
          </cell>
          <cell r="F40">
            <v>23964</v>
          </cell>
          <cell r="G40">
            <v>29222</v>
          </cell>
          <cell r="H40">
            <v>0</v>
          </cell>
          <cell r="I40">
            <v>24000</v>
          </cell>
          <cell r="J40">
            <v>0</v>
          </cell>
          <cell r="K40">
            <v>0</v>
          </cell>
          <cell r="L40">
            <v>0</v>
          </cell>
          <cell r="M40">
            <v>0</v>
          </cell>
          <cell r="N40">
            <v>0</v>
          </cell>
          <cell r="O40">
            <v>0</v>
          </cell>
          <cell r="P40">
            <v>0</v>
          </cell>
          <cell r="Q40">
            <v>0</v>
          </cell>
          <cell r="R40">
            <v>0</v>
          </cell>
          <cell r="S40">
            <v>0</v>
          </cell>
          <cell r="T40">
            <v>0</v>
          </cell>
          <cell r="U40">
            <v>0</v>
          </cell>
          <cell r="V40">
            <v>0</v>
          </cell>
          <cell r="W40">
            <v>0</v>
          </cell>
        </row>
        <row r="41">
          <cell r="A41" t="str">
            <v>210.40</v>
          </cell>
          <cell r="B41">
            <v>36</v>
          </cell>
          <cell r="C41" t="str">
            <v>129.40</v>
          </cell>
          <cell r="D41" t="str">
            <v>FSR ReWi</v>
          </cell>
          <cell r="E41">
            <v>32000</v>
          </cell>
          <cell r="F41">
            <v>24965</v>
          </cell>
          <cell r="G41">
            <v>29578</v>
          </cell>
          <cell r="H41">
            <v>23885</v>
          </cell>
          <cell r="I41">
            <v>23500</v>
          </cell>
          <cell r="J41">
            <v>-30</v>
          </cell>
          <cell r="K41">
            <v>-80</v>
          </cell>
          <cell r="L41">
            <v>-80</v>
          </cell>
          <cell r="M41">
            <v>9710</v>
          </cell>
          <cell r="N41">
            <v>12610</v>
          </cell>
          <cell r="O41">
            <v>13460</v>
          </cell>
          <cell r="P41">
            <v>13660</v>
          </cell>
          <cell r="Q41">
            <v>13760</v>
          </cell>
          <cell r="R41">
            <v>13760</v>
          </cell>
          <cell r="S41">
            <v>13760</v>
          </cell>
          <cell r="T41">
            <v>0</v>
          </cell>
          <cell r="U41">
            <v>0</v>
          </cell>
          <cell r="V41">
            <v>0</v>
          </cell>
          <cell r="W41">
            <v>0</v>
          </cell>
        </row>
        <row r="42">
          <cell r="A42" t="str">
            <v>210.50</v>
          </cell>
          <cell r="B42">
            <v>37</v>
          </cell>
          <cell r="C42" t="str">
            <v>129.30</v>
          </cell>
          <cell r="D42" t="str">
            <v>FSR M+I</v>
          </cell>
          <cell r="E42">
            <v>4500</v>
          </cell>
          <cell r="F42">
            <v>2550</v>
          </cell>
          <cell r="G42">
            <v>19572.5</v>
          </cell>
          <cell r="H42">
            <v>7685</v>
          </cell>
          <cell r="I42">
            <v>15500</v>
          </cell>
          <cell r="J42">
            <v>-110</v>
          </cell>
          <cell r="K42">
            <v>715</v>
          </cell>
          <cell r="L42">
            <v>715</v>
          </cell>
          <cell r="M42">
            <v>2460</v>
          </cell>
          <cell r="N42">
            <v>3165</v>
          </cell>
          <cell r="O42">
            <v>3165</v>
          </cell>
          <cell r="P42">
            <v>4320</v>
          </cell>
          <cell r="Q42">
            <v>5285</v>
          </cell>
          <cell r="R42">
            <v>5825</v>
          </cell>
          <cell r="S42">
            <v>6655</v>
          </cell>
          <cell r="T42">
            <v>0</v>
          </cell>
          <cell r="U42">
            <v>0</v>
          </cell>
          <cell r="V42">
            <v>0</v>
          </cell>
          <cell r="W42">
            <v>0</v>
          </cell>
        </row>
        <row r="43">
          <cell r="B43">
            <v>38</v>
          </cell>
          <cell r="H43">
            <v>0</v>
          </cell>
          <cell r="J43">
            <v>0</v>
          </cell>
          <cell r="K43">
            <v>0</v>
          </cell>
          <cell r="L43">
            <v>0</v>
          </cell>
          <cell r="M43">
            <v>0</v>
          </cell>
          <cell r="N43">
            <v>0</v>
          </cell>
          <cell r="O43">
            <v>0</v>
          </cell>
          <cell r="P43">
            <v>0</v>
          </cell>
          <cell r="Q43">
            <v>0</v>
          </cell>
          <cell r="R43">
            <v>0</v>
          </cell>
          <cell r="S43">
            <v>0</v>
          </cell>
          <cell r="T43">
            <v>0</v>
          </cell>
          <cell r="U43">
            <v>0</v>
          </cell>
          <cell r="V43">
            <v>0</v>
          </cell>
          <cell r="W43">
            <v>0</v>
          </cell>
        </row>
        <row r="44">
          <cell r="A44" t="str">
            <v>220.00</v>
          </cell>
          <cell r="B44">
            <v>39</v>
          </cell>
          <cell r="C44">
            <v>0</v>
          </cell>
          <cell r="D44" t="str">
            <v>Teilnahmebeiträge Veranstaltungen Fachschaften</v>
          </cell>
          <cell r="E44">
            <v>0</v>
          </cell>
          <cell r="F44">
            <v>0</v>
          </cell>
          <cell r="G44">
            <v>1200</v>
          </cell>
          <cell r="H44">
            <v>0</v>
          </cell>
          <cell r="I44">
            <v>500</v>
          </cell>
          <cell r="J44">
            <v>0</v>
          </cell>
          <cell r="K44">
            <v>0</v>
          </cell>
          <cell r="L44">
            <v>0</v>
          </cell>
          <cell r="M44">
            <v>0</v>
          </cell>
          <cell r="N44">
            <v>0</v>
          </cell>
          <cell r="O44">
            <v>0</v>
          </cell>
          <cell r="P44">
            <v>0</v>
          </cell>
          <cell r="Q44">
            <v>0</v>
          </cell>
          <cell r="R44">
            <v>0</v>
          </cell>
          <cell r="S44">
            <v>0</v>
          </cell>
          <cell r="T44">
            <v>0</v>
          </cell>
          <cell r="U44">
            <v>0</v>
          </cell>
          <cell r="V44">
            <v>0</v>
          </cell>
          <cell r="W44">
            <v>0</v>
          </cell>
        </row>
        <row r="45">
          <cell r="A45" t="str">
            <v>220.10</v>
          </cell>
          <cell r="B45">
            <v>40</v>
          </cell>
          <cell r="C45" t="str">
            <v>n.a.</v>
          </cell>
          <cell r="D45" t="str">
            <v>FSR WiWi</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row>
        <row r="46">
          <cell r="A46" t="str">
            <v>220.20</v>
          </cell>
          <cell r="B46">
            <v>41</v>
          </cell>
          <cell r="C46" t="str">
            <v>n.a.</v>
          </cell>
          <cell r="D46" t="str">
            <v>FSR KSW</v>
          </cell>
          <cell r="E46">
            <v>0</v>
          </cell>
          <cell r="F46">
            <v>0</v>
          </cell>
          <cell r="G46">
            <v>1200</v>
          </cell>
          <cell r="H46">
            <v>0</v>
          </cell>
          <cell r="I46">
            <v>500</v>
          </cell>
          <cell r="J46">
            <v>0</v>
          </cell>
          <cell r="K46">
            <v>0</v>
          </cell>
          <cell r="L46">
            <v>0</v>
          </cell>
          <cell r="M46">
            <v>0</v>
          </cell>
          <cell r="N46">
            <v>0</v>
          </cell>
          <cell r="O46">
            <v>0</v>
          </cell>
          <cell r="P46">
            <v>0</v>
          </cell>
          <cell r="Q46">
            <v>0</v>
          </cell>
          <cell r="R46">
            <v>0</v>
          </cell>
          <cell r="S46">
            <v>0</v>
          </cell>
          <cell r="T46">
            <v>0</v>
          </cell>
          <cell r="U46">
            <v>0</v>
          </cell>
          <cell r="V46">
            <v>0</v>
          </cell>
          <cell r="W46">
            <v>0</v>
          </cell>
        </row>
        <row r="47">
          <cell r="A47" t="str">
            <v>220.30</v>
          </cell>
          <cell r="B47">
            <v>42</v>
          </cell>
          <cell r="C47" t="str">
            <v>n.a.</v>
          </cell>
          <cell r="D47" t="str">
            <v>FSR PSY</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row>
        <row r="48">
          <cell r="A48" t="str">
            <v>220.40</v>
          </cell>
          <cell r="B48">
            <v>43</v>
          </cell>
          <cell r="C48" t="str">
            <v>n.a.</v>
          </cell>
          <cell r="D48" t="str">
            <v>FSR ReWi</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row>
        <row r="49">
          <cell r="A49" t="str">
            <v>220.50</v>
          </cell>
          <cell r="B49">
            <v>44</v>
          </cell>
          <cell r="C49" t="str">
            <v>n.a.</v>
          </cell>
          <cell r="D49" t="str">
            <v>FSR M+I</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row>
        <row r="50">
          <cell r="B50">
            <v>45</v>
          </cell>
          <cell r="H50">
            <v>0</v>
          </cell>
          <cell r="J50">
            <v>0</v>
          </cell>
          <cell r="K50">
            <v>0</v>
          </cell>
          <cell r="L50">
            <v>0</v>
          </cell>
          <cell r="M50">
            <v>0</v>
          </cell>
          <cell r="N50">
            <v>0</v>
          </cell>
          <cell r="O50">
            <v>0</v>
          </cell>
          <cell r="P50">
            <v>0</v>
          </cell>
          <cell r="Q50">
            <v>0</v>
          </cell>
          <cell r="R50">
            <v>0</v>
          </cell>
          <cell r="S50">
            <v>0</v>
          </cell>
          <cell r="T50">
            <v>0</v>
          </cell>
          <cell r="U50">
            <v>0</v>
          </cell>
          <cell r="V50">
            <v>0</v>
          </cell>
          <cell r="W50">
            <v>0</v>
          </cell>
        </row>
        <row r="51">
          <cell r="A51" t="str">
            <v>230.00</v>
          </cell>
          <cell r="B51">
            <v>46</v>
          </cell>
          <cell r="C51">
            <v>0</v>
          </cell>
          <cell r="D51" t="str">
            <v>Sonstige (Werbung, Förderungen, Bewirtung)</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row>
        <row r="52">
          <cell r="A52" t="str">
            <v>230.10</v>
          </cell>
          <cell r="B52">
            <v>47</v>
          </cell>
          <cell r="C52" t="str">
            <v>n.a.</v>
          </cell>
          <cell r="D52" t="str">
            <v>FSR WiWi</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row>
        <row r="53">
          <cell r="A53" t="str">
            <v>230.20</v>
          </cell>
          <cell r="B53">
            <v>48</v>
          </cell>
          <cell r="C53" t="str">
            <v>n.a.</v>
          </cell>
          <cell r="D53" t="str">
            <v>FSR KSW</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row>
        <row r="54">
          <cell r="A54" t="str">
            <v>230.30</v>
          </cell>
          <cell r="B54">
            <v>49</v>
          </cell>
          <cell r="C54" t="str">
            <v>n.a.</v>
          </cell>
          <cell r="D54" t="str">
            <v>FSR PSY</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row>
        <row r="55">
          <cell r="A55" t="str">
            <v>230.40</v>
          </cell>
          <cell r="B55">
            <v>50</v>
          </cell>
          <cell r="C55" t="str">
            <v>n.a.</v>
          </cell>
          <cell r="D55" t="str">
            <v>FSR ReWi</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row>
        <row r="56">
          <cell r="A56" t="str">
            <v>230.50</v>
          </cell>
          <cell r="B56">
            <v>51</v>
          </cell>
          <cell r="C56" t="str">
            <v>n.a.</v>
          </cell>
          <cell r="D56" t="str">
            <v>FSR M+I</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row>
        <row r="57">
          <cell r="B57">
            <v>52</v>
          </cell>
          <cell r="H57">
            <v>0</v>
          </cell>
          <cell r="J57">
            <v>0</v>
          </cell>
          <cell r="K57">
            <v>0</v>
          </cell>
          <cell r="L57">
            <v>0</v>
          </cell>
          <cell r="M57">
            <v>0</v>
          </cell>
          <cell r="N57">
            <v>0</v>
          </cell>
          <cell r="O57">
            <v>0</v>
          </cell>
          <cell r="P57">
            <v>0</v>
          </cell>
          <cell r="Q57">
            <v>0</v>
          </cell>
          <cell r="R57">
            <v>0</v>
          </cell>
          <cell r="S57">
            <v>0</v>
          </cell>
          <cell r="T57">
            <v>0</v>
          </cell>
          <cell r="U57">
            <v>0</v>
          </cell>
          <cell r="V57">
            <v>0</v>
          </cell>
          <cell r="W57">
            <v>0</v>
          </cell>
        </row>
        <row r="58">
          <cell r="B58">
            <v>53</v>
          </cell>
          <cell r="H58">
            <v>0</v>
          </cell>
          <cell r="J58">
            <v>0</v>
          </cell>
          <cell r="K58">
            <v>0</v>
          </cell>
          <cell r="L58">
            <v>0</v>
          </cell>
          <cell r="M58">
            <v>0</v>
          </cell>
          <cell r="N58">
            <v>0</v>
          </cell>
          <cell r="O58">
            <v>0</v>
          </cell>
          <cell r="P58">
            <v>0</v>
          </cell>
          <cell r="Q58">
            <v>0</v>
          </cell>
          <cell r="R58">
            <v>0</v>
          </cell>
          <cell r="S58">
            <v>0</v>
          </cell>
          <cell r="T58">
            <v>0</v>
          </cell>
          <cell r="U58">
            <v>0</v>
          </cell>
          <cell r="V58">
            <v>0</v>
          </cell>
          <cell r="W58">
            <v>0</v>
          </cell>
        </row>
        <row r="59">
          <cell r="B59">
            <v>54</v>
          </cell>
          <cell r="H59">
            <v>0</v>
          </cell>
          <cell r="J59">
            <v>0</v>
          </cell>
          <cell r="K59">
            <v>0</v>
          </cell>
          <cell r="L59">
            <v>0</v>
          </cell>
          <cell r="M59">
            <v>0</v>
          </cell>
          <cell r="N59">
            <v>0</v>
          </cell>
          <cell r="O59">
            <v>0</v>
          </cell>
          <cell r="P59">
            <v>0</v>
          </cell>
          <cell r="Q59">
            <v>0</v>
          </cell>
          <cell r="R59">
            <v>0</v>
          </cell>
          <cell r="S59">
            <v>0</v>
          </cell>
          <cell r="T59">
            <v>0</v>
          </cell>
          <cell r="U59">
            <v>0</v>
          </cell>
          <cell r="V59">
            <v>0</v>
          </cell>
          <cell r="W59">
            <v>0</v>
          </cell>
        </row>
        <row r="60">
          <cell r="A60" t="str">
            <v>Plan 3</v>
          </cell>
          <cell r="B60">
            <v>54</v>
          </cell>
          <cell r="C60">
            <v>0</v>
          </cell>
          <cell r="D60" t="str">
            <v>Rücklagen, Vorjahresvortrag, durchlaufende Gelder</v>
          </cell>
          <cell r="E60">
            <v>795000</v>
          </cell>
          <cell r="F60">
            <v>820360.34</v>
          </cell>
          <cell r="G60">
            <v>345497.78</v>
          </cell>
          <cell r="H60">
            <v>285497.78000000003</v>
          </cell>
          <cell r="I60">
            <v>689841.07</v>
          </cell>
          <cell r="J60">
            <v>689481.07</v>
          </cell>
          <cell r="K60">
            <v>689481.07</v>
          </cell>
          <cell r="L60">
            <v>689481.07</v>
          </cell>
          <cell r="M60">
            <v>689481.07</v>
          </cell>
          <cell r="N60">
            <v>689481.07</v>
          </cell>
          <cell r="O60">
            <v>689481.07</v>
          </cell>
          <cell r="P60">
            <v>689481.07</v>
          </cell>
          <cell r="Q60">
            <v>689481.07</v>
          </cell>
          <cell r="R60">
            <v>689481.07</v>
          </cell>
          <cell r="S60">
            <v>689481.07</v>
          </cell>
          <cell r="T60">
            <v>0</v>
          </cell>
          <cell r="U60">
            <v>0</v>
          </cell>
          <cell r="V60">
            <v>0</v>
          </cell>
          <cell r="W60">
            <v>0</v>
          </cell>
        </row>
        <row r="61">
          <cell r="A61" t="str">
            <v>352.00</v>
          </cell>
          <cell r="B61">
            <v>55</v>
          </cell>
          <cell r="C61">
            <v>0</v>
          </cell>
          <cell r="D61" t="str">
            <v>Entnahmen aus der Rücklage</v>
          </cell>
          <cell r="E61">
            <v>195000</v>
          </cell>
          <cell r="F61">
            <v>195000</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352.10</v>
          </cell>
          <cell r="B62">
            <v>56</v>
          </cell>
          <cell r="C62" t="str">
            <v>352.00</v>
          </cell>
          <cell r="D62" t="str">
            <v>Allgemeine Rücklage</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3">
          <cell r="A63" t="str">
            <v>352.20</v>
          </cell>
          <cell r="B63">
            <v>57</v>
          </cell>
          <cell r="C63" t="str">
            <v>353.00</v>
          </cell>
          <cell r="D63" t="str">
            <v>Sonderrücklage Wahlen</v>
          </cell>
          <cell r="E63">
            <v>195000</v>
          </cell>
          <cell r="F63">
            <v>195000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row>
        <row r="64">
          <cell r="A64" t="str">
            <v>352.30</v>
          </cell>
          <cell r="B64">
            <v>58</v>
          </cell>
          <cell r="C64" t="str">
            <v>n.a.</v>
          </cell>
          <cell r="D64" t="str">
            <v>Schwankungsrücklage Wahlen</v>
          </cell>
          <cell r="E64">
            <v>0</v>
          </cell>
          <cell r="F64">
            <v>0</v>
          </cell>
          <cell r="G64">
            <v>60000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row>
        <row r="65">
          <cell r="B65">
            <v>60</v>
          </cell>
          <cell r="H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t="str">
            <v>360.00</v>
          </cell>
          <cell r="B66">
            <v>61</v>
          </cell>
          <cell r="C66">
            <v>0</v>
          </cell>
          <cell r="D66" t="str">
            <v>Vorjahresvortrag</v>
          </cell>
          <cell r="E66">
            <v>600000</v>
          </cell>
          <cell r="F66">
            <v>625360.34</v>
          </cell>
          <cell r="G66">
            <v>285497.78000000003</v>
          </cell>
          <cell r="H66">
            <v>285497.78000000003</v>
          </cell>
          <cell r="I66">
            <v>689841.07</v>
          </cell>
          <cell r="J66">
            <v>689481.07</v>
          </cell>
          <cell r="K66">
            <v>689481.07</v>
          </cell>
          <cell r="L66">
            <v>689481.07</v>
          </cell>
          <cell r="M66">
            <v>689481.07</v>
          </cell>
          <cell r="N66">
            <v>689481.07</v>
          </cell>
          <cell r="O66">
            <v>689481.07</v>
          </cell>
          <cell r="P66">
            <v>689481.07</v>
          </cell>
          <cell r="Q66">
            <v>689481.07</v>
          </cell>
          <cell r="R66">
            <v>689481.07</v>
          </cell>
          <cell r="S66">
            <v>689481.07</v>
          </cell>
          <cell r="T66">
            <v>0</v>
          </cell>
          <cell r="U66">
            <v>0</v>
          </cell>
          <cell r="V66">
            <v>0</v>
          </cell>
          <cell r="W66">
            <v>0</v>
          </cell>
        </row>
        <row r="67">
          <cell r="A67" t="str">
            <v>360.10</v>
          </cell>
          <cell r="B67">
            <v>62</v>
          </cell>
          <cell r="C67" t="str">
            <v>360.00</v>
          </cell>
          <cell r="D67" t="str">
            <v>Überschuss Vorjahr</v>
          </cell>
          <cell r="E67">
            <v>600000</v>
          </cell>
          <cell r="F67">
            <v>625360.34</v>
          </cell>
          <cell r="G67">
            <v>285497.78000000003</v>
          </cell>
          <cell r="H67">
            <v>285497.78000000003</v>
          </cell>
          <cell r="I67">
            <v>689841.07</v>
          </cell>
          <cell r="J67">
            <v>689481.07</v>
          </cell>
          <cell r="K67">
            <v>689481.07</v>
          </cell>
          <cell r="L67">
            <v>689481.07</v>
          </cell>
          <cell r="M67">
            <v>689481.07</v>
          </cell>
          <cell r="N67">
            <v>689481.07</v>
          </cell>
          <cell r="O67">
            <v>689481.07</v>
          </cell>
          <cell r="P67">
            <v>689481.07</v>
          </cell>
          <cell r="Q67">
            <v>689481.07</v>
          </cell>
          <cell r="R67">
            <v>689481.07</v>
          </cell>
          <cell r="S67">
            <v>689481.07</v>
          </cell>
          <cell r="T67">
            <v>0</v>
          </cell>
          <cell r="U67">
            <v>0</v>
          </cell>
          <cell r="V67">
            <v>0</v>
          </cell>
          <cell r="W67">
            <v>0</v>
          </cell>
        </row>
        <row r="68">
          <cell r="A68" t="str">
            <v>360.20</v>
          </cell>
          <cell r="B68">
            <v>63</v>
          </cell>
          <cell r="C68" t="str">
            <v>n.a.</v>
          </cell>
          <cell r="D68" t="str">
            <v>Sonstige Vorträge</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row>
        <row r="69">
          <cell r="B69">
            <v>64</v>
          </cell>
          <cell r="H69">
            <v>0</v>
          </cell>
          <cell r="J69">
            <v>0</v>
          </cell>
          <cell r="K69">
            <v>0</v>
          </cell>
          <cell r="L69">
            <v>0</v>
          </cell>
          <cell r="M69">
            <v>0</v>
          </cell>
          <cell r="N69">
            <v>0</v>
          </cell>
          <cell r="O69">
            <v>0</v>
          </cell>
          <cell r="P69">
            <v>0</v>
          </cell>
          <cell r="Q69">
            <v>0</v>
          </cell>
          <cell r="R69">
            <v>0</v>
          </cell>
          <cell r="S69">
            <v>0</v>
          </cell>
          <cell r="T69">
            <v>0</v>
          </cell>
          <cell r="U69">
            <v>0</v>
          </cell>
          <cell r="V69">
            <v>0</v>
          </cell>
          <cell r="W69">
            <v>0</v>
          </cell>
        </row>
        <row r="70">
          <cell r="A70" t="str">
            <v>380.00</v>
          </cell>
          <cell r="B70">
            <v>65</v>
          </cell>
          <cell r="C70">
            <v>0</v>
          </cell>
          <cell r="D70" t="str">
            <v>Kautionen, Durchlaufende Gelder AStA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row>
        <row r="71">
          <cell r="A71" t="str">
            <v>382.10</v>
          </cell>
          <cell r="B71">
            <v>66</v>
          </cell>
          <cell r="C71" t="str">
            <v>n.a.</v>
          </cell>
          <cell r="D71" t="str">
            <v>Kautionen Materialverleih</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A72" t="str">
            <v>382.20</v>
          </cell>
          <cell r="B72">
            <v>67</v>
          </cell>
          <cell r="C72" t="str">
            <v>130.00</v>
          </cell>
          <cell r="D72" t="str">
            <v>Vorverkaufseinnahmen Bewirtung</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row>
        <row r="73">
          <cell r="B73">
            <v>68</v>
          </cell>
          <cell r="H73">
            <v>0</v>
          </cell>
          <cell r="J73">
            <v>0</v>
          </cell>
          <cell r="K73">
            <v>0</v>
          </cell>
          <cell r="L73">
            <v>0</v>
          </cell>
          <cell r="M73">
            <v>0</v>
          </cell>
          <cell r="N73">
            <v>0</v>
          </cell>
          <cell r="O73">
            <v>0</v>
          </cell>
          <cell r="P73">
            <v>0</v>
          </cell>
          <cell r="Q73">
            <v>0</v>
          </cell>
          <cell r="R73">
            <v>0</v>
          </cell>
          <cell r="S73">
            <v>0</v>
          </cell>
          <cell r="T73">
            <v>0</v>
          </cell>
          <cell r="U73">
            <v>0</v>
          </cell>
          <cell r="V73">
            <v>0</v>
          </cell>
          <cell r="W73">
            <v>0</v>
          </cell>
        </row>
        <row r="74">
          <cell r="B74">
            <v>70</v>
          </cell>
          <cell r="D74" t="str">
            <v>Einnahmen Gesamt</v>
          </cell>
          <cell r="E74">
            <v>1480000</v>
          </cell>
          <cell r="F74">
            <v>1500919.53</v>
          </cell>
          <cell r="G74">
            <v>1568977.28</v>
          </cell>
          <cell r="H74">
            <v>1433893.8299999998</v>
          </cell>
          <cell r="I74">
            <v>1582227.3199999998</v>
          </cell>
          <cell r="J74">
            <v>937833.09</v>
          </cell>
          <cell r="K74">
            <v>1141388.6199999999</v>
          </cell>
          <cell r="L74">
            <v>1190112.3399999999</v>
          </cell>
          <cell r="M74">
            <v>1211898.24</v>
          </cell>
          <cell r="N74">
            <v>1227973.5</v>
          </cell>
          <cell r="O74">
            <v>1254018.0499999998</v>
          </cell>
          <cell r="P74">
            <v>1513694.5</v>
          </cell>
          <cell r="Q74">
            <v>1726600.16</v>
          </cell>
          <cell r="R74">
            <v>1764119.69</v>
          </cell>
          <cell r="S74">
            <v>1774199.4899999998</v>
          </cell>
          <cell r="T74">
            <v>0</v>
          </cell>
          <cell r="U74">
            <v>0</v>
          </cell>
          <cell r="V74">
            <v>0</v>
          </cell>
          <cell r="W74">
            <v>0</v>
          </cell>
        </row>
        <row r="75">
          <cell r="B75">
            <v>71</v>
          </cell>
          <cell r="H75">
            <v>0</v>
          </cell>
          <cell r="J75">
            <v>0</v>
          </cell>
          <cell r="K75">
            <v>0</v>
          </cell>
          <cell r="L75">
            <v>0</v>
          </cell>
          <cell r="M75">
            <v>0</v>
          </cell>
          <cell r="N75">
            <v>0</v>
          </cell>
          <cell r="O75">
            <v>0</v>
          </cell>
          <cell r="P75">
            <v>0</v>
          </cell>
          <cell r="Q75">
            <v>0</v>
          </cell>
          <cell r="R75">
            <v>0</v>
          </cell>
          <cell r="S75">
            <v>0</v>
          </cell>
          <cell r="T75">
            <v>0</v>
          </cell>
          <cell r="U75">
            <v>0</v>
          </cell>
          <cell r="V75">
            <v>0</v>
          </cell>
          <cell r="W75">
            <v>0</v>
          </cell>
        </row>
        <row r="76">
          <cell r="A76" t="str">
            <v>Ausgaben</v>
          </cell>
          <cell r="B76">
            <v>72</v>
          </cell>
          <cell r="C76">
            <v>0</v>
          </cell>
          <cell r="H76">
            <v>0</v>
          </cell>
          <cell r="J76">
            <v>0</v>
          </cell>
          <cell r="K76">
            <v>0</v>
          </cell>
          <cell r="L76">
            <v>0</v>
          </cell>
          <cell r="M76">
            <v>0</v>
          </cell>
          <cell r="N76">
            <v>0</v>
          </cell>
          <cell r="O76">
            <v>0</v>
          </cell>
          <cell r="P76">
            <v>0</v>
          </cell>
          <cell r="Q76">
            <v>0</v>
          </cell>
          <cell r="R76">
            <v>0</v>
          </cell>
          <cell r="S76">
            <v>0</v>
          </cell>
          <cell r="T76">
            <v>0</v>
          </cell>
          <cell r="U76">
            <v>0</v>
          </cell>
          <cell r="V76">
            <v>0</v>
          </cell>
          <cell r="W76">
            <v>0</v>
          </cell>
        </row>
        <row r="77">
          <cell r="B77">
            <v>73</v>
          </cell>
          <cell r="H77">
            <v>0</v>
          </cell>
          <cell r="J77">
            <v>0</v>
          </cell>
          <cell r="K77">
            <v>0</v>
          </cell>
          <cell r="L77">
            <v>0</v>
          </cell>
          <cell r="M77">
            <v>0</v>
          </cell>
          <cell r="N77">
            <v>0</v>
          </cell>
          <cell r="O77">
            <v>0</v>
          </cell>
          <cell r="P77">
            <v>0</v>
          </cell>
          <cell r="Q77">
            <v>0</v>
          </cell>
          <cell r="R77">
            <v>0</v>
          </cell>
          <cell r="S77">
            <v>0</v>
          </cell>
          <cell r="T77">
            <v>0</v>
          </cell>
          <cell r="U77">
            <v>0</v>
          </cell>
          <cell r="V77">
            <v>0</v>
          </cell>
          <cell r="W77">
            <v>0</v>
          </cell>
        </row>
        <row r="78">
          <cell r="A78" t="str">
            <v>Plan 4</v>
          </cell>
          <cell r="B78" t="e">
            <v>#REF!</v>
          </cell>
          <cell r="C78">
            <v>0</v>
          </cell>
          <cell r="D78" t="str">
            <v>Personalausgaben und Aufwandsentschädigungen</v>
          </cell>
          <cell r="E78">
            <v>460235</v>
          </cell>
          <cell r="F78">
            <v>407438.27</v>
          </cell>
          <cell r="G78">
            <v>498755</v>
          </cell>
          <cell r="H78">
            <v>408563.82</v>
          </cell>
          <cell r="I78">
            <v>522865</v>
          </cell>
          <cell r="J78">
            <v>35238.03</v>
          </cell>
          <cell r="K78">
            <v>77759.13</v>
          </cell>
          <cell r="L78">
            <v>121337.01999999999</v>
          </cell>
          <cell r="M78">
            <v>155363.25999999998</v>
          </cell>
          <cell r="N78">
            <v>190126.46999999997</v>
          </cell>
          <cell r="O78">
            <v>225846.61</v>
          </cell>
          <cell r="P78">
            <v>259446.50000000006</v>
          </cell>
          <cell r="Q78">
            <v>295851.71000000002</v>
          </cell>
          <cell r="R78">
            <v>331139.33000000007</v>
          </cell>
          <cell r="S78">
            <v>359193.65</v>
          </cell>
          <cell r="T78">
            <v>0</v>
          </cell>
          <cell r="U78">
            <v>0</v>
          </cell>
          <cell r="V78">
            <v>0</v>
          </cell>
          <cell r="W78">
            <v>0</v>
          </cell>
        </row>
        <row r="79">
          <cell r="A79" t="str">
            <v>412.00</v>
          </cell>
          <cell r="B79">
            <v>74</v>
          </cell>
          <cell r="C79">
            <v>0</v>
          </cell>
          <cell r="D79" t="str">
            <v>Aufwandsentschädigungen Studierendenvertretung</v>
          </cell>
          <cell r="E79">
            <v>70250</v>
          </cell>
          <cell r="F79">
            <v>45805</v>
          </cell>
          <cell r="G79">
            <v>83690</v>
          </cell>
          <cell r="H79">
            <v>41663</v>
          </cell>
          <cell r="I79">
            <v>92400</v>
          </cell>
          <cell r="J79">
            <v>4185</v>
          </cell>
          <cell r="K79">
            <v>7225</v>
          </cell>
          <cell r="L79">
            <v>11990</v>
          </cell>
          <cell r="M79">
            <v>15715</v>
          </cell>
          <cell r="N79">
            <v>19270</v>
          </cell>
          <cell r="O79">
            <v>24290</v>
          </cell>
          <cell r="P79">
            <v>27530</v>
          </cell>
          <cell r="Q79">
            <v>32455</v>
          </cell>
          <cell r="R79">
            <v>36055</v>
          </cell>
          <cell r="S79">
            <v>40615</v>
          </cell>
          <cell r="T79">
            <v>0</v>
          </cell>
          <cell r="U79">
            <v>0</v>
          </cell>
          <cell r="V79">
            <v>0</v>
          </cell>
          <cell r="W79">
            <v>0</v>
          </cell>
        </row>
        <row r="80">
          <cell r="A80" t="str">
            <v>412.10</v>
          </cell>
          <cell r="B80">
            <v>75</v>
          </cell>
          <cell r="C80" t="str">
            <v>412.20 (x0,4), 412.50 (x0,6)</v>
          </cell>
          <cell r="D80" t="str">
            <v>Fest-AE SP-Vorsitz, HHA-Vorsitz, AG-Sprecher (§ 43 d. Satzung)</v>
          </cell>
          <cell r="E80">
            <v>17400</v>
          </cell>
          <cell r="F80">
            <v>11920</v>
          </cell>
          <cell r="G80">
            <v>17440</v>
          </cell>
          <cell r="H80">
            <v>10128</v>
          </cell>
          <cell r="I80">
            <v>17000</v>
          </cell>
          <cell r="J80">
            <v>880</v>
          </cell>
          <cell r="K80">
            <v>1760</v>
          </cell>
          <cell r="L80">
            <v>2640</v>
          </cell>
          <cell r="M80">
            <v>3520</v>
          </cell>
          <cell r="N80">
            <v>4400</v>
          </cell>
          <cell r="O80">
            <v>5280</v>
          </cell>
          <cell r="P80">
            <v>5920</v>
          </cell>
          <cell r="Q80">
            <v>6560</v>
          </cell>
          <cell r="R80">
            <v>7200</v>
          </cell>
          <cell r="S80">
            <v>7840</v>
          </cell>
          <cell r="T80">
            <v>0</v>
          </cell>
          <cell r="U80">
            <v>0</v>
          </cell>
          <cell r="V80">
            <v>0</v>
          </cell>
          <cell r="W80">
            <v>0</v>
          </cell>
        </row>
        <row r="81">
          <cell r="A81" t="str">
            <v>412.20</v>
          </cell>
          <cell r="B81">
            <v>76</v>
          </cell>
          <cell r="C81" t="str">
            <v>412.20 (x0,6), 412.50 (x0,4)</v>
          </cell>
          <cell r="D81" t="str">
            <v>Variable AE Stupa, Ausschüsse, Arbeitsgruppen (§ 44 d. Satzung)</v>
          </cell>
          <cell r="E81">
            <v>26110</v>
          </cell>
          <cell r="F81">
            <v>14025</v>
          </cell>
          <cell r="G81">
            <v>39250</v>
          </cell>
          <cell r="H81">
            <v>13665</v>
          </cell>
          <cell r="I81">
            <v>35000</v>
          </cell>
          <cell r="J81">
            <v>1895</v>
          </cell>
          <cell r="K81">
            <v>2875</v>
          </cell>
          <cell r="L81">
            <v>4400</v>
          </cell>
          <cell r="M81">
            <v>5205</v>
          </cell>
          <cell r="N81">
            <v>6060</v>
          </cell>
          <cell r="O81">
            <v>7330</v>
          </cell>
          <cell r="P81">
            <v>8680</v>
          </cell>
          <cell r="Q81">
            <v>9975</v>
          </cell>
          <cell r="R81">
            <v>10910</v>
          </cell>
          <cell r="S81">
            <v>12060</v>
          </cell>
          <cell r="T81">
            <v>0</v>
          </cell>
          <cell r="U81">
            <v>0</v>
          </cell>
          <cell r="V81">
            <v>0</v>
          </cell>
          <cell r="W81">
            <v>0</v>
          </cell>
        </row>
        <row r="82">
          <cell r="A82" t="str">
            <v>412.30</v>
          </cell>
          <cell r="B82">
            <v>77</v>
          </cell>
          <cell r="C82" t="str">
            <v>412.30</v>
          </cell>
          <cell r="D82" t="str">
            <v>Fernuni-Gremien (§ 44 d. Satzung)</v>
          </cell>
          <cell r="E82">
            <v>25000</v>
          </cell>
          <cell r="F82">
            <v>19640</v>
          </cell>
          <cell r="G82">
            <v>25000</v>
          </cell>
          <cell r="H82">
            <v>17870</v>
          </cell>
          <cell r="I82">
            <v>25000</v>
          </cell>
          <cell r="J82">
            <v>1410</v>
          </cell>
          <cell r="K82">
            <v>2590</v>
          </cell>
          <cell r="L82">
            <v>4660</v>
          </cell>
          <cell r="M82">
            <v>6700</v>
          </cell>
          <cell r="N82">
            <v>8520</v>
          </cell>
          <cell r="O82">
            <v>11390</v>
          </cell>
          <cell r="P82">
            <v>12640</v>
          </cell>
          <cell r="Q82">
            <v>15590</v>
          </cell>
          <cell r="R82">
            <v>17510</v>
          </cell>
          <cell r="S82">
            <v>20280</v>
          </cell>
          <cell r="T82">
            <v>0</v>
          </cell>
          <cell r="U82">
            <v>0</v>
          </cell>
          <cell r="V82">
            <v>0</v>
          </cell>
          <cell r="W82">
            <v>0</v>
          </cell>
        </row>
        <row r="83">
          <cell r="A83" t="str">
            <v>412.40</v>
          </cell>
          <cell r="B83">
            <v>78</v>
          </cell>
          <cell r="C83" t="str">
            <v>n.a.</v>
          </cell>
          <cell r="D83" t="str">
            <v>AStA-Beauftragungen</v>
          </cell>
          <cell r="E83">
            <v>0</v>
          </cell>
          <cell r="F83">
            <v>0</v>
          </cell>
          <cell r="G83">
            <v>0</v>
          </cell>
          <cell r="H83">
            <v>0</v>
          </cell>
          <cell r="I83">
            <v>14400</v>
          </cell>
          <cell r="J83">
            <v>0</v>
          </cell>
          <cell r="K83">
            <v>0</v>
          </cell>
          <cell r="L83">
            <v>0</v>
          </cell>
          <cell r="M83">
            <v>0</v>
          </cell>
          <cell r="N83">
            <v>0</v>
          </cell>
          <cell r="O83">
            <v>0</v>
          </cell>
          <cell r="P83">
            <v>0</v>
          </cell>
          <cell r="Q83">
            <v>0</v>
          </cell>
          <cell r="R83">
            <v>0</v>
          </cell>
          <cell r="S83">
            <v>0</v>
          </cell>
          <cell r="T83">
            <v>0</v>
          </cell>
          <cell r="U83">
            <v>0</v>
          </cell>
          <cell r="V83">
            <v>0</v>
          </cell>
          <cell r="W83">
            <v>0</v>
          </cell>
        </row>
        <row r="84">
          <cell r="A84" t="str">
            <v>412.50</v>
          </cell>
          <cell r="B84">
            <v>79</v>
          </cell>
          <cell r="C84" t="str">
            <v>412.40, 412.60, 536.10, 538.10, 550.10, 686.11</v>
          </cell>
          <cell r="D84" t="str">
            <v>AStA-Veranstaltungen, Gäste, Sonstige (§ 44. d. Satzung)</v>
          </cell>
          <cell r="E84">
            <v>1750</v>
          </cell>
          <cell r="F84">
            <v>220</v>
          </cell>
          <cell r="G84">
            <v>2000</v>
          </cell>
          <cell r="H84">
            <v>272</v>
          </cell>
          <cell r="I84">
            <v>1000</v>
          </cell>
          <cell r="J84">
            <v>240</v>
          </cell>
          <cell r="K84">
            <v>240</v>
          </cell>
          <cell r="L84">
            <v>290</v>
          </cell>
          <cell r="M84">
            <v>290</v>
          </cell>
          <cell r="N84">
            <v>290</v>
          </cell>
          <cell r="O84">
            <v>290</v>
          </cell>
          <cell r="P84">
            <v>290</v>
          </cell>
          <cell r="Q84">
            <v>330</v>
          </cell>
          <cell r="R84">
            <v>435</v>
          </cell>
          <cell r="S84">
            <v>435</v>
          </cell>
          <cell r="T84">
            <v>0</v>
          </cell>
          <cell r="U84">
            <v>0</v>
          </cell>
          <cell r="V84">
            <v>0</v>
          </cell>
          <cell r="W84">
            <v>0</v>
          </cell>
        </row>
        <row r="85">
          <cell r="B85">
            <v>80</v>
          </cell>
          <cell r="H85">
            <v>0</v>
          </cell>
          <cell r="J85">
            <v>0</v>
          </cell>
          <cell r="K85">
            <v>0</v>
          </cell>
          <cell r="L85">
            <v>0</v>
          </cell>
          <cell r="M85">
            <v>0</v>
          </cell>
          <cell r="N85">
            <v>0</v>
          </cell>
          <cell r="O85">
            <v>0</v>
          </cell>
          <cell r="P85">
            <v>0</v>
          </cell>
          <cell r="Q85">
            <v>0</v>
          </cell>
          <cell r="R85">
            <v>0</v>
          </cell>
          <cell r="S85">
            <v>0</v>
          </cell>
          <cell r="T85">
            <v>0</v>
          </cell>
          <cell r="U85">
            <v>0</v>
          </cell>
          <cell r="V85">
            <v>0</v>
          </cell>
          <cell r="W85">
            <v>0</v>
          </cell>
        </row>
        <row r="86">
          <cell r="A86" t="str">
            <v>413.00</v>
          </cell>
          <cell r="B86">
            <v>81</v>
          </cell>
          <cell r="C86">
            <v>0</v>
          </cell>
          <cell r="D86" t="str">
            <v>Aufwandsentschädigungen Fachschaften</v>
          </cell>
          <cell r="E86">
            <v>71500</v>
          </cell>
          <cell r="F86">
            <v>57708.33</v>
          </cell>
          <cell r="G86">
            <v>74670</v>
          </cell>
          <cell r="H86">
            <v>56685</v>
          </cell>
          <cell r="I86">
            <v>74070</v>
          </cell>
          <cell r="J86">
            <v>5235</v>
          </cell>
          <cell r="K86">
            <v>9410</v>
          </cell>
          <cell r="L86">
            <v>14205.5</v>
          </cell>
          <cell r="M86">
            <v>18560.5</v>
          </cell>
          <cell r="N86">
            <v>23540.5</v>
          </cell>
          <cell r="O86">
            <v>27900.5</v>
          </cell>
          <cell r="P86">
            <v>31965.5</v>
          </cell>
          <cell r="Q86">
            <v>36320.5</v>
          </cell>
          <cell r="R86">
            <v>41590.5</v>
          </cell>
          <cell r="S86">
            <v>47020.5</v>
          </cell>
          <cell r="T86">
            <v>0</v>
          </cell>
          <cell r="U86">
            <v>0</v>
          </cell>
          <cell r="V86">
            <v>0</v>
          </cell>
          <cell r="W86">
            <v>0</v>
          </cell>
        </row>
        <row r="87">
          <cell r="A87" t="str">
            <v>413.10</v>
          </cell>
          <cell r="B87">
            <v>82</v>
          </cell>
          <cell r="C87" t="str">
            <v>686.31 (x0,52), 686.41 (x0,87), 686.51 (x0,8), 686.61 (x0,33), 686.71 (x0,26)</v>
          </cell>
          <cell r="D87" t="str">
            <v>Fest-AE Fachschaften (Fester Wert, 5*800*12) (§ 43 d. Satzung)</v>
          </cell>
          <cell r="E87">
            <v>48000</v>
          </cell>
          <cell r="F87">
            <v>44193.33</v>
          </cell>
          <cell r="G87">
            <v>48000</v>
          </cell>
          <cell r="H87">
            <v>46930</v>
          </cell>
          <cell r="I87">
            <v>48000</v>
          </cell>
          <cell r="J87">
            <v>4090</v>
          </cell>
          <cell r="K87">
            <v>7905</v>
          </cell>
          <cell r="L87">
            <v>11720</v>
          </cell>
          <cell r="M87">
            <v>15535</v>
          </cell>
          <cell r="N87">
            <v>19350</v>
          </cell>
          <cell r="O87">
            <v>23165</v>
          </cell>
          <cell r="P87">
            <v>26980</v>
          </cell>
          <cell r="Q87">
            <v>30795</v>
          </cell>
          <cell r="R87">
            <v>34610</v>
          </cell>
          <cell r="S87">
            <v>38425</v>
          </cell>
          <cell r="T87">
            <v>0</v>
          </cell>
          <cell r="U87">
            <v>0</v>
          </cell>
          <cell r="V87">
            <v>0</v>
          </cell>
          <cell r="W87">
            <v>0</v>
          </cell>
        </row>
        <row r="88">
          <cell r="A88" t="str">
            <v>413.20</v>
          </cell>
          <cell r="B88">
            <v>83</v>
          </cell>
          <cell r="C88">
            <v>0</v>
          </cell>
          <cell r="D88" t="str">
            <v>Variable AE Fachschaften (§ 44 d. Satzung)</v>
          </cell>
          <cell r="E88">
            <v>22000</v>
          </cell>
          <cell r="F88">
            <v>12720</v>
          </cell>
          <cell r="G88">
            <v>25670</v>
          </cell>
          <cell r="H88">
            <v>9365</v>
          </cell>
          <cell r="I88">
            <v>25070</v>
          </cell>
          <cell r="J88">
            <v>0</v>
          </cell>
          <cell r="K88">
            <v>0</v>
          </cell>
          <cell r="L88">
            <v>0</v>
          </cell>
          <cell r="M88">
            <v>0</v>
          </cell>
          <cell r="N88">
            <v>0</v>
          </cell>
          <cell r="O88">
            <v>0</v>
          </cell>
          <cell r="P88">
            <v>0</v>
          </cell>
          <cell r="Q88">
            <v>0</v>
          </cell>
          <cell r="R88">
            <v>0</v>
          </cell>
          <cell r="S88">
            <v>0</v>
          </cell>
          <cell r="T88">
            <v>0</v>
          </cell>
          <cell r="U88">
            <v>0</v>
          </cell>
          <cell r="V88">
            <v>0</v>
          </cell>
          <cell r="W88">
            <v>0</v>
          </cell>
        </row>
        <row r="89">
          <cell r="A89" t="str">
            <v>413.21</v>
          </cell>
          <cell r="B89">
            <v>84</v>
          </cell>
          <cell r="C89" t="str">
            <v>686.31 (x0,48)</v>
          </cell>
          <cell r="D89" t="str">
            <v>Variable AE FSR WiWi</v>
          </cell>
          <cell r="E89">
            <v>10400</v>
          </cell>
          <cell r="F89">
            <v>5830</v>
          </cell>
          <cell r="G89">
            <v>8600</v>
          </cell>
          <cell r="H89">
            <v>3695</v>
          </cell>
          <cell r="I89">
            <v>8600</v>
          </cell>
          <cell r="J89">
            <v>560</v>
          </cell>
          <cell r="K89">
            <v>740</v>
          </cell>
          <cell r="L89">
            <v>1465.5</v>
          </cell>
          <cell r="M89">
            <v>1725.5</v>
          </cell>
          <cell r="N89">
            <v>2085.5</v>
          </cell>
          <cell r="O89">
            <v>2510.5</v>
          </cell>
          <cell r="P89">
            <v>2510.5</v>
          </cell>
          <cell r="Q89">
            <v>2920.5</v>
          </cell>
          <cell r="R89">
            <v>4040.5</v>
          </cell>
          <cell r="S89">
            <v>4810.5</v>
          </cell>
          <cell r="T89">
            <v>0</v>
          </cell>
          <cell r="U89">
            <v>0</v>
          </cell>
          <cell r="V89">
            <v>0</v>
          </cell>
          <cell r="W89">
            <v>0</v>
          </cell>
        </row>
        <row r="90">
          <cell r="A90" t="str">
            <v>413.22</v>
          </cell>
          <cell r="B90">
            <v>85</v>
          </cell>
          <cell r="C90" t="str">
            <v>686.41 (x0,13)</v>
          </cell>
          <cell r="D90" t="str">
            <v>Variable AE FSR KSW</v>
          </cell>
          <cell r="E90">
            <v>1400</v>
          </cell>
          <cell r="F90">
            <v>1160</v>
          </cell>
          <cell r="G90">
            <v>5270</v>
          </cell>
          <cell r="H90">
            <v>560</v>
          </cell>
          <cell r="I90">
            <v>5270</v>
          </cell>
          <cell r="J90">
            <v>0</v>
          </cell>
          <cell r="K90">
            <v>0</v>
          </cell>
          <cell r="L90">
            <v>0</v>
          </cell>
          <cell r="M90">
            <v>20</v>
          </cell>
          <cell r="N90">
            <v>20</v>
          </cell>
          <cell r="O90">
            <v>120</v>
          </cell>
          <cell r="P90">
            <v>120</v>
          </cell>
          <cell r="Q90">
            <v>120</v>
          </cell>
          <cell r="R90">
            <v>140</v>
          </cell>
          <cell r="S90">
            <v>140</v>
          </cell>
          <cell r="T90">
            <v>0</v>
          </cell>
          <cell r="U90">
            <v>0</v>
          </cell>
          <cell r="V90">
            <v>0</v>
          </cell>
          <cell r="W90">
            <v>0</v>
          </cell>
        </row>
        <row r="91">
          <cell r="A91" t="str">
            <v>413.23</v>
          </cell>
          <cell r="B91">
            <v>86</v>
          </cell>
          <cell r="C91" t="str">
            <v>686.51 (x0,2)</v>
          </cell>
          <cell r="D91" t="str">
            <v>Variable AE FSR PSY</v>
          </cell>
          <cell r="E91">
            <v>2400</v>
          </cell>
          <cell r="F91">
            <v>3110</v>
          </cell>
          <cell r="G91">
            <v>4500</v>
          </cell>
          <cell r="H91">
            <v>2435</v>
          </cell>
          <cell r="I91">
            <v>4400</v>
          </cell>
          <cell r="J91">
            <v>0</v>
          </cell>
          <cell r="K91">
            <v>0</v>
          </cell>
          <cell r="L91">
            <v>0</v>
          </cell>
          <cell r="M91">
            <v>0</v>
          </cell>
          <cell r="N91">
            <v>30</v>
          </cell>
          <cell r="O91">
            <v>30</v>
          </cell>
          <cell r="P91">
            <v>115</v>
          </cell>
          <cell r="Q91">
            <v>180</v>
          </cell>
          <cell r="R91">
            <v>180</v>
          </cell>
          <cell r="S91">
            <v>180</v>
          </cell>
          <cell r="T91">
            <v>0</v>
          </cell>
          <cell r="U91">
            <v>0</v>
          </cell>
          <cell r="V91">
            <v>0</v>
          </cell>
          <cell r="W91">
            <v>0</v>
          </cell>
        </row>
        <row r="92">
          <cell r="A92" t="str">
            <v>413.24</v>
          </cell>
          <cell r="B92">
            <v>87</v>
          </cell>
          <cell r="C92" t="str">
            <v>686.61 (x0,67)</v>
          </cell>
          <cell r="D92" t="str">
            <v>Variable AE FSR ReWi</v>
          </cell>
          <cell r="E92">
            <v>4400</v>
          </cell>
          <cell r="F92">
            <v>2350</v>
          </cell>
          <cell r="G92">
            <v>5000</v>
          </cell>
          <cell r="H92">
            <v>2435</v>
          </cell>
          <cell r="I92">
            <v>4400</v>
          </cell>
          <cell r="J92">
            <v>585</v>
          </cell>
          <cell r="K92">
            <v>605</v>
          </cell>
          <cell r="L92">
            <v>860</v>
          </cell>
          <cell r="M92">
            <v>1120</v>
          </cell>
          <cell r="N92">
            <v>1505</v>
          </cell>
          <cell r="O92">
            <v>1525</v>
          </cell>
          <cell r="P92">
            <v>1690</v>
          </cell>
          <cell r="Q92">
            <v>1755</v>
          </cell>
          <cell r="R92">
            <v>1755</v>
          </cell>
          <cell r="S92">
            <v>1755</v>
          </cell>
          <cell r="T92">
            <v>0</v>
          </cell>
          <cell r="U92">
            <v>0</v>
          </cell>
          <cell r="V92">
            <v>0</v>
          </cell>
          <cell r="W92">
            <v>0</v>
          </cell>
        </row>
        <row r="93">
          <cell r="A93" t="str">
            <v>413.25</v>
          </cell>
          <cell r="B93">
            <v>88</v>
          </cell>
          <cell r="C93" t="str">
            <v>686.71 (x0,74)</v>
          </cell>
          <cell r="D93" t="str">
            <v>Variable AE FSR M+I</v>
          </cell>
          <cell r="E93">
            <v>3400</v>
          </cell>
          <cell r="F93">
            <v>270</v>
          </cell>
          <cell r="G93">
            <v>2300</v>
          </cell>
          <cell r="H93">
            <v>240</v>
          </cell>
          <cell r="I93">
            <v>2400</v>
          </cell>
          <cell r="J93">
            <v>0</v>
          </cell>
          <cell r="K93">
            <v>160</v>
          </cell>
          <cell r="L93">
            <v>160</v>
          </cell>
          <cell r="M93">
            <v>160</v>
          </cell>
          <cell r="N93">
            <v>160</v>
          </cell>
          <cell r="O93">
            <v>160</v>
          </cell>
          <cell r="P93">
            <v>160</v>
          </cell>
          <cell r="Q93">
            <v>160</v>
          </cell>
          <cell r="R93">
            <v>265</v>
          </cell>
          <cell r="S93">
            <v>1005</v>
          </cell>
          <cell r="T93">
            <v>0</v>
          </cell>
          <cell r="U93">
            <v>0</v>
          </cell>
          <cell r="V93">
            <v>0</v>
          </cell>
          <cell r="W93">
            <v>0</v>
          </cell>
        </row>
        <row r="94">
          <cell r="A94" t="str">
            <v>413.30</v>
          </cell>
          <cell r="B94">
            <v>89</v>
          </cell>
          <cell r="C94" t="str">
            <v>686.21</v>
          </cell>
          <cell r="D94" t="str">
            <v>FSRK</v>
          </cell>
          <cell r="E94">
            <v>1500</v>
          </cell>
          <cell r="F94">
            <v>795</v>
          </cell>
          <cell r="G94">
            <v>1000</v>
          </cell>
          <cell r="H94">
            <v>390</v>
          </cell>
          <cell r="I94">
            <v>1000</v>
          </cell>
          <cell r="J94">
            <v>0</v>
          </cell>
          <cell r="K94">
            <v>0</v>
          </cell>
          <cell r="L94">
            <v>0</v>
          </cell>
          <cell r="M94">
            <v>0</v>
          </cell>
          <cell r="N94">
            <v>390</v>
          </cell>
          <cell r="O94">
            <v>390</v>
          </cell>
          <cell r="P94">
            <v>390</v>
          </cell>
          <cell r="Q94">
            <v>390</v>
          </cell>
          <cell r="R94">
            <v>600</v>
          </cell>
          <cell r="S94">
            <v>705</v>
          </cell>
          <cell r="T94">
            <v>0</v>
          </cell>
          <cell r="U94">
            <v>0</v>
          </cell>
          <cell r="V94">
            <v>0</v>
          </cell>
          <cell r="W94">
            <v>0</v>
          </cell>
        </row>
        <row r="95">
          <cell r="B95">
            <v>90</v>
          </cell>
          <cell r="H95">
            <v>0</v>
          </cell>
          <cell r="J95">
            <v>0</v>
          </cell>
          <cell r="K95">
            <v>0</v>
          </cell>
          <cell r="L95">
            <v>0</v>
          </cell>
          <cell r="M95">
            <v>0</v>
          </cell>
          <cell r="N95">
            <v>0</v>
          </cell>
          <cell r="O95">
            <v>0</v>
          </cell>
          <cell r="P95">
            <v>0</v>
          </cell>
          <cell r="Q95">
            <v>0</v>
          </cell>
          <cell r="R95">
            <v>0</v>
          </cell>
          <cell r="S95">
            <v>0</v>
          </cell>
          <cell r="T95">
            <v>0</v>
          </cell>
          <cell r="U95">
            <v>0</v>
          </cell>
          <cell r="V95">
            <v>0</v>
          </cell>
          <cell r="W95">
            <v>0</v>
          </cell>
        </row>
        <row r="96">
          <cell r="A96" t="str">
            <v>425.00</v>
          </cell>
          <cell r="B96">
            <v>91</v>
          </cell>
          <cell r="C96">
            <v>0</v>
          </cell>
          <cell r="D96" t="str">
            <v>Beschäftigungen AStA</v>
          </cell>
          <cell r="E96">
            <v>107185</v>
          </cell>
          <cell r="F96">
            <v>116485.4</v>
          </cell>
          <cell r="G96">
            <v>115200</v>
          </cell>
          <cell r="H96">
            <v>112954.2</v>
          </cell>
          <cell r="I96">
            <v>115200</v>
          </cell>
          <cell r="J96">
            <v>8898.9599999999991</v>
          </cell>
          <cell r="K96">
            <v>17797.919999999998</v>
          </cell>
          <cell r="L96">
            <v>26696.880000000001</v>
          </cell>
          <cell r="M96">
            <v>35595.839999999997</v>
          </cell>
          <cell r="N96">
            <v>44494.8</v>
          </cell>
          <cell r="O96">
            <v>53393.760000000002</v>
          </cell>
          <cell r="P96">
            <v>62292.72</v>
          </cell>
          <cell r="Q96">
            <v>71420.299999999988</v>
          </cell>
          <cell r="R96">
            <v>80319.259999999995</v>
          </cell>
          <cell r="S96">
            <v>87689.66</v>
          </cell>
          <cell r="T96">
            <v>0</v>
          </cell>
          <cell r="U96">
            <v>0</v>
          </cell>
          <cell r="V96">
            <v>0</v>
          </cell>
          <cell r="W96">
            <v>0</v>
          </cell>
        </row>
        <row r="97">
          <cell r="A97" t="str">
            <v>425.10</v>
          </cell>
          <cell r="B97">
            <v>92</v>
          </cell>
          <cell r="C97" t="str">
            <v>425.11</v>
          </cell>
          <cell r="D97" t="str">
            <v>Referate</v>
          </cell>
          <cell r="E97">
            <v>63000</v>
          </cell>
          <cell r="F97">
            <v>68187</v>
          </cell>
          <cell r="G97">
            <v>70000</v>
          </cell>
          <cell r="H97">
            <v>66757.8</v>
          </cell>
          <cell r="I97">
            <v>70000</v>
          </cell>
          <cell r="J97">
            <v>5270.4</v>
          </cell>
          <cell r="K97">
            <v>10540.8</v>
          </cell>
          <cell r="L97">
            <v>15811.2</v>
          </cell>
          <cell r="M97">
            <v>21081.599999999999</v>
          </cell>
          <cell r="N97">
            <v>26352</v>
          </cell>
          <cell r="O97">
            <v>31622.400000000001</v>
          </cell>
          <cell r="P97">
            <v>36892.800000000003</v>
          </cell>
          <cell r="Q97">
            <v>42163.199999999997</v>
          </cell>
          <cell r="R97">
            <v>47433.599999999999</v>
          </cell>
          <cell r="S97">
            <v>52704</v>
          </cell>
          <cell r="T97">
            <v>0</v>
          </cell>
          <cell r="U97">
            <v>0</v>
          </cell>
          <cell r="V97">
            <v>0</v>
          </cell>
          <cell r="W97">
            <v>0</v>
          </cell>
        </row>
        <row r="98">
          <cell r="A98" t="str">
            <v>425.20</v>
          </cell>
          <cell r="B98">
            <v>93</v>
          </cell>
          <cell r="C98" t="str">
            <v>425.12</v>
          </cell>
          <cell r="D98" t="str">
            <v>Bundesknappschaft</v>
          </cell>
          <cell r="E98">
            <v>19000</v>
          </cell>
          <cell r="F98">
            <v>21331.89</v>
          </cell>
          <cell r="G98">
            <v>18000</v>
          </cell>
          <cell r="H98">
            <v>19458.599999999999</v>
          </cell>
          <cell r="I98">
            <v>18000</v>
          </cell>
          <cell r="J98">
            <v>1528.56</v>
          </cell>
          <cell r="K98">
            <v>3057.12</v>
          </cell>
          <cell r="L98">
            <v>4585.68</v>
          </cell>
          <cell r="M98">
            <v>6114.24</v>
          </cell>
          <cell r="N98">
            <v>7642.8</v>
          </cell>
          <cell r="O98">
            <v>9171.36</v>
          </cell>
          <cell r="P98">
            <v>10699.92</v>
          </cell>
          <cell r="Q98">
            <v>12228.48</v>
          </cell>
          <cell r="R98">
            <v>13757.04</v>
          </cell>
          <cell r="S98">
            <v>13757.04</v>
          </cell>
          <cell r="T98">
            <v>0</v>
          </cell>
          <cell r="U98">
            <v>0</v>
          </cell>
          <cell r="V98">
            <v>0</v>
          </cell>
          <cell r="W98">
            <v>0</v>
          </cell>
        </row>
        <row r="99">
          <cell r="A99" t="str">
            <v>425.30</v>
          </cell>
          <cell r="B99">
            <v>94</v>
          </cell>
          <cell r="C99" t="str">
            <v>412.10</v>
          </cell>
          <cell r="D99" t="str">
            <v>Sachkostenpauschale</v>
          </cell>
          <cell r="E99">
            <v>25000</v>
          </cell>
          <cell r="F99">
            <v>26775</v>
          </cell>
          <cell r="G99">
            <v>27000</v>
          </cell>
          <cell r="H99">
            <v>26512.5</v>
          </cell>
          <cell r="I99">
            <v>27000</v>
          </cell>
          <cell r="J99">
            <v>2100</v>
          </cell>
          <cell r="K99">
            <v>4200</v>
          </cell>
          <cell r="L99">
            <v>6300</v>
          </cell>
          <cell r="M99">
            <v>8400</v>
          </cell>
          <cell r="N99">
            <v>10500</v>
          </cell>
          <cell r="O99">
            <v>12600</v>
          </cell>
          <cell r="P99">
            <v>14700</v>
          </cell>
          <cell r="Q99">
            <v>16800</v>
          </cell>
          <cell r="R99">
            <v>18900</v>
          </cell>
          <cell r="S99">
            <v>21000</v>
          </cell>
          <cell r="T99">
            <v>0</v>
          </cell>
          <cell r="U99">
            <v>0</v>
          </cell>
          <cell r="V99">
            <v>0</v>
          </cell>
          <cell r="W99">
            <v>0</v>
          </cell>
        </row>
        <row r="100">
          <cell r="A100" t="str">
            <v>425.40</v>
          </cell>
          <cell r="B100">
            <v>95</v>
          </cell>
          <cell r="C100" t="str">
            <v>425.14</v>
          </cell>
          <cell r="D100" t="str">
            <v>VBG Unfallversicherung AStA</v>
          </cell>
          <cell r="E100">
            <v>185</v>
          </cell>
          <cell r="F100">
            <v>191.51</v>
          </cell>
          <cell r="G100">
            <v>200</v>
          </cell>
          <cell r="H100">
            <v>225.3</v>
          </cell>
          <cell r="I100">
            <v>200</v>
          </cell>
          <cell r="J100">
            <v>0</v>
          </cell>
          <cell r="K100">
            <v>0</v>
          </cell>
          <cell r="L100">
            <v>0</v>
          </cell>
          <cell r="M100">
            <v>0</v>
          </cell>
          <cell r="N100">
            <v>0</v>
          </cell>
          <cell r="O100">
            <v>0</v>
          </cell>
          <cell r="P100">
            <v>0</v>
          </cell>
          <cell r="Q100">
            <v>228.62</v>
          </cell>
          <cell r="R100">
            <v>228.62</v>
          </cell>
          <cell r="S100">
            <v>228.62</v>
          </cell>
          <cell r="T100">
            <v>0</v>
          </cell>
          <cell r="U100">
            <v>0</v>
          </cell>
          <cell r="V100">
            <v>0</v>
          </cell>
          <cell r="W100">
            <v>0</v>
          </cell>
        </row>
        <row r="101">
          <cell r="B101">
            <v>96</v>
          </cell>
          <cell r="H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row>
        <row r="102">
          <cell r="A102" t="str">
            <v>428.00</v>
          </cell>
          <cell r="B102">
            <v>97</v>
          </cell>
          <cell r="C102">
            <v>0</v>
          </cell>
          <cell r="D102" t="str">
            <v>Personalausgaben Angestellte</v>
          </cell>
          <cell r="E102">
            <v>206500</v>
          </cell>
          <cell r="F102">
            <v>187240.54</v>
          </cell>
          <cell r="G102">
            <v>220495</v>
          </cell>
          <cell r="H102">
            <v>196285.44000000003</v>
          </cell>
          <cell r="I102">
            <v>236495</v>
          </cell>
          <cell r="J102">
            <v>16679.07</v>
          </cell>
          <cell r="K102">
            <v>42891.21</v>
          </cell>
          <cell r="L102">
            <v>68249.64</v>
          </cell>
          <cell r="M102">
            <v>85296.92</v>
          </cell>
          <cell r="N102">
            <v>102626.17</v>
          </cell>
          <cell r="O102">
            <v>120025.15000000001</v>
          </cell>
          <cell r="P102">
            <v>137421.07999999999</v>
          </cell>
          <cell r="Q102">
            <v>155418.71</v>
          </cell>
          <cell r="R102">
            <v>172823.37</v>
          </cell>
          <cell r="S102">
            <v>183517.28999999998</v>
          </cell>
          <cell r="T102">
            <v>0</v>
          </cell>
          <cell r="U102">
            <v>0</v>
          </cell>
          <cell r="V102">
            <v>0</v>
          </cell>
          <cell r="W102">
            <v>0</v>
          </cell>
        </row>
        <row r="103">
          <cell r="A103" t="str">
            <v>428.10</v>
          </cell>
          <cell r="B103">
            <v>98</v>
          </cell>
          <cell r="C103" t="str">
            <v>425.21, 427.10</v>
          </cell>
          <cell r="D103" t="str">
            <v>Gehälter Beschäftigte</v>
          </cell>
          <cell r="E103">
            <v>92500</v>
          </cell>
          <cell r="F103">
            <v>90530.79</v>
          </cell>
          <cell r="G103">
            <v>102000</v>
          </cell>
          <cell r="H103">
            <v>93878.16</v>
          </cell>
          <cell r="I103">
            <v>118000</v>
          </cell>
          <cell r="J103">
            <v>7797.45</v>
          </cell>
          <cell r="K103">
            <v>20215.66</v>
          </cell>
          <cell r="L103">
            <v>33809.89</v>
          </cell>
          <cell r="M103">
            <v>42071.56</v>
          </cell>
          <cell r="N103">
            <v>50474.44</v>
          </cell>
          <cell r="O103">
            <v>58877.72</v>
          </cell>
          <cell r="P103">
            <v>67265.789999999994</v>
          </cell>
          <cell r="Q103">
            <v>75662.27</v>
          </cell>
          <cell r="R103">
            <v>84058.75</v>
          </cell>
          <cell r="S103">
            <v>92455.23</v>
          </cell>
          <cell r="T103">
            <v>0</v>
          </cell>
          <cell r="U103">
            <v>0</v>
          </cell>
          <cell r="V103">
            <v>0</v>
          </cell>
          <cell r="W103">
            <v>0</v>
          </cell>
        </row>
        <row r="104">
          <cell r="A104" t="str">
            <v>428.20</v>
          </cell>
          <cell r="B104">
            <v>99</v>
          </cell>
          <cell r="C104" t="str">
            <v>425.22</v>
          </cell>
          <cell r="D104" t="str">
            <v>Steuern</v>
          </cell>
          <cell r="E104">
            <v>26000</v>
          </cell>
          <cell r="F104">
            <v>20905.61</v>
          </cell>
          <cell r="G104">
            <v>28000</v>
          </cell>
          <cell r="H104">
            <v>25672.59</v>
          </cell>
          <cell r="I104">
            <v>26000</v>
          </cell>
          <cell r="J104">
            <v>2306.89</v>
          </cell>
          <cell r="K104">
            <v>4613.78</v>
          </cell>
          <cell r="L104">
            <v>9803.25</v>
          </cell>
          <cell r="M104">
            <v>12031.11</v>
          </cell>
          <cell r="N104">
            <v>14258.9</v>
          </cell>
          <cell r="O104">
            <v>16556.02</v>
          </cell>
          <cell r="P104">
            <v>18853.14</v>
          </cell>
          <cell r="Q104">
            <v>21158.59</v>
          </cell>
          <cell r="R104">
            <v>23456.03</v>
          </cell>
          <cell r="S104">
            <v>25753.47</v>
          </cell>
          <cell r="T104">
            <v>0</v>
          </cell>
          <cell r="U104">
            <v>0</v>
          </cell>
          <cell r="V104">
            <v>0</v>
          </cell>
          <cell r="W104">
            <v>0</v>
          </cell>
        </row>
        <row r="105">
          <cell r="A105" t="str">
            <v>428.30</v>
          </cell>
          <cell r="B105">
            <v>100</v>
          </cell>
          <cell r="C105" t="str">
            <v>425.23, 427.20</v>
          </cell>
          <cell r="D105" t="str">
            <v>AG-Anteil Sozialversicherung</v>
          </cell>
          <cell r="E105">
            <v>73000</v>
          </cell>
          <cell r="F105">
            <v>63085.8</v>
          </cell>
          <cell r="G105">
            <v>75000</v>
          </cell>
          <cell r="H105">
            <v>64594.26</v>
          </cell>
          <cell r="I105">
            <v>77000</v>
          </cell>
          <cell r="J105">
            <v>5619.09</v>
          </cell>
          <cell r="K105">
            <v>15439.97</v>
          </cell>
          <cell r="L105">
            <v>21059.06</v>
          </cell>
          <cell r="M105">
            <v>26661.17</v>
          </cell>
          <cell r="N105">
            <v>32383.96</v>
          </cell>
          <cell r="O105">
            <v>38106.75</v>
          </cell>
          <cell r="P105">
            <v>43841.7</v>
          </cell>
          <cell r="Q105">
            <v>49576.65</v>
          </cell>
          <cell r="R105">
            <v>55311.6</v>
          </cell>
          <cell r="S105">
            <v>55311.6</v>
          </cell>
          <cell r="T105">
            <v>0</v>
          </cell>
          <cell r="U105">
            <v>0</v>
          </cell>
          <cell r="V105">
            <v>0</v>
          </cell>
          <cell r="W105">
            <v>0</v>
          </cell>
        </row>
        <row r="106">
          <cell r="A106" t="str">
            <v>428.40</v>
          </cell>
          <cell r="B106">
            <v>101</v>
          </cell>
          <cell r="C106" t="str">
            <v>425.24</v>
          </cell>
          <cell r="D106" t="str">
            <v>Betriebsrenten</v>
          </cell>
          <cell r="E106">
            <v>14500</v>
          </cell>
          <cell r="F106">
            <v>12261.25</v>
          </cell>
          <cell r="G106">
            <v>15000</v>
          </cell>
          <cell r="H106">
            <v>11668.73</v>
          </cell>
          <cell r="I106">
            <v>15000</v>
          </cell>
          <cell r="J106">
            <v>955.64</v>
          </cell>
          <cell r="K106">
            <v>2621.8</v>
          </cell>
          <cell r="L106">
            <v>3577.44</v>
          </cell>
          <cell r="M106">
            <v>4533.08</v>
          </cell>
          <cell r="N106">
            <v>5508.87</v>
          </cell>
          <cell r="O106">
            <v>6484.66</v>
          </cell>
          <cell r="P106">
            <v>7460.45</v>
          </cell>
          <cell r="Q106">
            <v>8436.24</v>
          </cell>
          <cell r="R106">
            <v>9412.0300000000007</v>
          </cell>
          <cell r="S106">
            <v>9412.0300000000007</v>
          </cell>
          <cell r="T106">
            <v>0</v>
          </cell>
          <cell r="U106">
            <v>0</v>
          </cell>
          <cell r="V106">
            <v>0</v>
          </cell>
          <cell r="W106">
            <v>0</v>
          </cell>
        </row>
        <row r="107">
          <cell r="A107" t="str">
            <v>428.50</v>
          </cell>
          <cell r="B107">
            <v>102</v>
          </cell>
          <cell r="C107" t="str">
            <v>425.26</v>
          </cell>
          <cell r="D107" t="str">
            <v>VBG Unfallversicherung Büro</v>
          </cell>
          <cell r="E107">
            <v>500</v>
          </cell>
          <cell r="F107">
            <v>457.09</v>
          </cell>
          <cell r="G107">
            <v>495</v>
          </cell>
          <cell r="H107">
            <v>471.7</v>
          </cell>
          <cell r="I107">
            <v>495</v>
          </cell>
          <cell r="J107">
            <v>0</v>
          </cell>
          <cell r="K107">
            <v>0</v>
          </cell>
          <cell r="L107">
            <v>0</v>
          </cell>
          <cell r="M107">
            <v>0</v>
          </cell>
          <cell r="N107">
            <v>0</v>
          </cell>
          <cell r="O107">
            <v>0</v>
          </cell>
          <cell r="P107">
            <v>0</v>
          </cell>
          <cell r="Q107">
            <v>584.96</v>
          </cell>
          <cell r="R107">
            <v>584.96</v>
          </cell>
          <cell r="S107">
            <v>584.96</v>
          </cell>
          <cell r="T107">
            <v>0</v>
          </cell>
          <cell r="U107">
            <v>0</v>
          </cell>
          <cell r="V107">
            <v>0</v>
          </cell>
          <cell r="W107">
            <v>0</v>
          </cell>
        </row>
        <row r="108">
          <cell r="B108">
            <v>103</v>
          </cell>
          <cell r="H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row>
        <row r="109">
          <cell r="A109" t="str">
            <v>430.00</v>
          </cell>
          <cell r="B109">
            <v>104</v>
          </cell>
          <cell r="C109">
            <v>0</v>
          </cell>
          <cell r="D109" t="str">
            <v>Weiterbildung und Sonstige Kosten</v>
          </cell>
          <cell r="E109">
            <v>4800</v>
          </cell>
          <cell r="F109">
            <v>199</v>
          </cell>
          <cell r="G109">
            <v>4700</v>
          </cell>
          <cell r="H109">
            <v>704.18</v>
          </cell>
          <cell r="I109">
            <v>4700</v>
          </cell>
          <cell r="J109">
            <v>0</v>
          </cell>
          <cell r="K109">
            <v>195</v>
          </cell>
          <cell r="L109">
            <v>195</v>
          </cell>
          <cell r="M109">
            <v>195</v>
          </cell>
          <cell r="N109">
            <v>195</v>
          </cell>
          <cell r="O109">
            <v>237.2</v>
          </cell>
          <cell r="P109">
            <v>237.2</v>
          </cell>
          <cell r="Q109">
            <v>237.2</v>
          </cell>
          <cell r="R109">
            <v>351.2</v>
          </cell>
          <cell r="S109">
            <v>351.2</v>
          </cell>
          <cell r="T109">
            <v>0</v>
          </cell>
          <cell r="U109">
            <v>0</v>
          </cell>
          <cell r="V109">
            <v>0</v>
          </cell>
          <cell r="W109">
            <v>0</v>
          </cell>
        </row>
        <row r="110">
          <cell r="A110" t="str">
            <v>430.10</v>
          </cell>
          <cell r="B110">
            <v>105</v>
          </cell>
          <cell r="C110" t="str">
            <v>525.10</v>
          </cell>
          <cell r="D110" t="str">
            <v>Angestellte</v>
          </cell>
          <cell r="E110">
            <v>1500</v>
          </cell>
          <cell r="F110">
            <v>0</v>
          </cell>
          <cell r="G110">
            <v>1500</v>
          </cell>
          <cell r="H110">
            <v>150.31</v>
          </cell>
          <cell r="I110">
            <v>1500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row>
        <row r="111">
          <cell r="A111" t="str">
            <v>430.20</v>
          </cell>
          <cell r="B111">
            <v>106</v>
          </cell>
          <cell r="C111" t="str">
            <v>525.30</v>
          </cell>
          <cell r="D111" t="str">
            <v>AStA</v>
          </cell>
          <cell r="E111">
            <v>1000</v>
          </cell>
          <cell r="F111">
            <v>199</v>
          </cell>
          <cell r="G111">
            <v>1000</v>
          </cell>
          <cell r="H111">
            <v>487.47</v>
          </cell>
          <cell r="I111">
            <v>1000</v>
          </cell>
          <cell r="J111">
            <v>0</v>
          </cell>
          <cell r="K111">
            <v>195</v>
          </cell>
          <cell r="L111">
            <v>195</v>
          </cell>
          <cell r="M111">
            <v>195</v>
          </cell>
          <cell r="N111">
            <v>195</v>
          </cell>
          <cell r="O111">
            <v>215</v>
          </cell>
          <cell r="P111">
            <v>215</v>
          </cell>
          <cell r="Q111">
            <v>215</v>
          </cell>
          <cell r="R111">
            <v>309</v>
          </cell>
          <cell r="S111">
            <v>309</v>
          </cell>
          <cell r="T111">
            <v>0</v>
          </cell>
          <cell r="U111">
            <v>0</v>
          </cell>
          <cell r="V111">
            <v>0</v>
          </cell>
          <cell r="W111">
            <v>0</v>
          </cell>
        </row>
        <row r="112">
          <cell r="A112" t="str">
            <v>430.30</v>
          </cell>
          <cell r="B112">
            <v>107</v>
          </cell>
          <cell r="C112" t="str">
            <v>525.20</v>
          </cell>
          <cell r="D112" t="str">
            <v>Sonstige Stud.Vertr.</v>
          </cell>
          <cell r="E112">
            <v>1500</v>
          </cell>
          <cell r="F112">
            <v>0</v>
          </cell>
          <cell r="G112">
            <v>1500</v>
          </cell>
          <cell r="H112">
            <v>0</v>
          </cell>
          <cell r="I112">
            <v>1500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row>
        <row r="113">
          <cell r="A113" t="str">
            <v>430.40</v>
          </cell>
          <cell r="B113">
            <v>108</v>
          </cell>
          <cell r="C113" t="str">
            <v>425.13, 425.25, 527.11, 527.12, 527.13</v>
          </cell>
          <cell r="D113" t="str">
            <v>Sonstige Kosten Personal</v>
          </cell>
          <cell r="E113">
            <v>800</v>
          </cell>
          <cell r="F113">
            <v>0</v>
          </cell>
          <cell r="G113">
            <v>700</v>
          </cell>
          <cell r="H113">
            <v>66.400000000000006</v>
          </cell>
          <cell r="I113">
            <v>700</v>
          </cell>
          <cell r="J113">
            <v>0</v>
          </cell>
          <cell r="K113">
            <v>0</v>
          </cell>
          <cell r="L113">
            <v>0</v>
          </cell>
          <cell r="M113">
            <v>0</v>
          </cell>
          <cell r="N113">
            <v>0</v>
          </cell>
          <cell r="O113">
            <v>22.2</v>
          </cell>
          <cell r="P113">
            <v>22.2</v>
          </cell>
          <cell r="Q113">
            <v>22.2</v>
          </cell>
          <cell r="R113">
            <v>42.2</v>
          </cell>
          <cell r="S113">
            <v>42.2</v>
          </cell>
          <cell r="T113">
            <v>0</v>
          </cell>
          <cell r="U113">
            <v>0</v>
          </cell>
          <cell r="V113">
            <v>0</v>
          </cell>
          <cell r="W113">
            <v>0</v>
          </cell>
        </row>
        <row r="114">
          <cell r="B114">
            <v>109</v>
          </cell>
          <cell r="H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row>
        <row r="115">
          <cell r="B115">
            <v>110</v>
          </cell>
          <cell r="H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row>
        <row r="116">
          <cell r="A116" t="str">
            <v>Plan 5</v>
          </cell>
          <cell r="B116">
            <v>111</v>
          </cell>
          <cell r="C116">
            <v>0</v>
          </cell>
          <cell r="D116" t="str">
            <v>Sach-, Allgemein- und Veranstaltungsausgaben</v>
          </cell>
          <cell r="E116">
            <v>725520</v>
          </cell>
          <cell r="F116">
            <v>553204.80000000005</v>
          </cell>
          <cell r="G116">
            <v>830147.28</v>
          </cell>
          <cell r="H116">
            <v>187682.13</v>
          </cell>
          <cell r="I116">
            <v>827001</v>
          </cell>
          <cell r="J116">
            <v>12609.289999999999</v>
          </cell>
          <cell r="K116">
            <v>20971.530000000002</v>
          </cell>
          <cell r="L116">
            <v>32518.960000000003</v>
          </cell>
          <cell r="M116">
            <v>42038.510000000009</v>
          </cell>
          <cell r="N116">
            <v>59307.060000000019</v>
          </cell>
          <cell r="O116">
            <v>90086.73000000001</v>
          </cell>
          <cell r="P116">
            <v>97934.880000000019</v>
          </cell>
          <cell r="Q116">
            <v>116970.69</v>
          </cell>
          <cell r="R116">
            <v>130287.85999999999</v>
          </cell>
          <cell r="S116">
            <v>137410.88999999998</v>
          </cell>
          <cell r="T116">
            <v>0</v>
          </cell>
          <cell r="U116">
            <v>0</v>
          </cell>
          <cell r="V116">
            <v>0</v>
          </cell>
          <cell r="W116">
            <v>0</v>
          </cell>
        </row>
        <row r="117">
          <cell r="A117" t="str">
            <v>511.00</v>
          </cell>
          <cell r="B117">
            <v>112</v>
          </cell>
          <cell r="C117">
            <v>0</v>
          </cell>
          <cell r="D117" t="str">
            <v>Geschäftsausgaben</v>
          </cell>
          <cell r="E117">
            <v>13510</v>
          </cell>
          <cell r="F117">
            <v>13208.32</v>
          </cell>
          <cell r="G117">
            <v>17532.28</v>
          </cell>
          <cell r="H117">
            <v>14506.83</v>
          </cell>
          <cell r="I117">
            <v>19685</v>
          </cell>
          <cell r="J117">
            <v>1029.81</v>
          </cell>
          <cell r="K117">
            <v>1956.9500000000003</v>
          </cell>
          <cell r="L117">
            <v>3604.8900000000003</v>
          </cell>
          <cell r="M117">
            <v>4909.3140000000003</v>
          </cell>
          <cell r="N117">
            <v>5848.4060000000009</v>
          </cell>
          <cell r="O117">
            <v>6737.5059999999994</v>
          </cell>
          <cell r="P117">
            <v>7549.0439999999999</v>
          </cell>
          <cell r="Q117">
            <v>8504.2000000000007</v>
          </cell>
          <cell r="R117">
            <v>9410.2079999999987</v>
          </cell>
          <cell r="S117">
            <v>10748.344000000001</v>
          </cell>
          <cell r="T117">
            <v>0</v>
          </cell>
          <cell r="U117">
            <v>0</v>
          </cell>
          <cell r="V117">
            <v>0</v>
          </cell>
          <cell r="W117">
            <v>0</v>
          </cell>
        </row>
        <row r="118">
          <cell r="A118" t="str">
            <v>511.10</v>
          </cell>
          <cell r="B118">
            <v>113</v>
          </cell>
          <cell r="C118" t="str">
            <v>511.12, 511.14, 517.21, 517.22</v>
          </cell>
          <cell r="D118" t="str">
            <v>Geschäftskosten allgemein, Versicherungen</v>
          </cell>
          <cell r="E118">
            <v>1610</v>
          </cell>
          <cell r="F118">
            <v>953.35</v>
          </cell>
          <cell r="G118">
            <v>2000</v>
          </cell>
          <cell r="H118">
            <v>1919.29</v>
          </cell>
          <cell r="I118">
            <v>3000</v>
          </cell>
          <cell r="J118">
            <v>0</v>
          </cell>
          <cell r="K118">
            <v>108.01</v>
          </cell>
          <cell r="L118">
            <v>981.29</v>
          </cell>
          <cell r="M118">
            <v>1247.29</v>
          </cell>
          <cell r="N118">
            <v>1265.6500000000001</v>
          </cell>
          <cell r="O118">
            <v>1265.6500000000001</v>
          </cell>
          <cell r="P118">
            <v>1265.6500000000001</v>
          </cell>
          <cell r="Q118">
            <v>1284.01</v>
          </cell>
          <cell r="R118">
            <v>1284.01</v>
          </cell>
          <cell r="S118">
            <v>1284.01</v>
          </cell>
          <cell r="T118">
            <v>0</v>
          </cell>
          <cell r="U118">
            <v>0</v>
          </cell>
          <cell r="V118">
            <v>0</v>
          </cell>
          <cell r="W118">
            <v>0</v>
          </cell>
        </row>
        <row r="119">
          <cell r="A119" t="str">
            <v>511.20</v>
          </cell>
          <cell r="B119">
            <v>114</v>
          </cell>
          <cell r="C119" t="str">
            <v>511.10,  511.15</v>
          </cell>
          <cell r="D119" t="str">
            <v>Büromaterial</v>
          </cell>
          <cell r="E119">
            <v>550</v>
          </cell>
          <cell r="F119">
            <v>322.83999999999997</v>
          </cell>
          <cell r="G119">
            <v>800</v>
          </cell>
          <cell r="H119">
            <v>931.79</v>
          </cell>
          <cell r="I119">
            <v>1500</v>
          </cell>
          <cell r="J119">
            <v>182.91</v>
          </cell>
          <cell r="K119">
            <v>199.01</v>
          </cell>
          <cell r="L119">
            <v>199.01</v>
          </cell>
          <cell r="M119">
            <v>240.96</v>
          </cell>
          <cell r="N119">
            <v>259.58000000000004</v>
          </cell>
          <cell r="O119">
            <v>259.58000000000004</v>
          </cell>
          <cell r="P119">
            <v>301.52999999999997</v>
          </cell>
          <cell r="Q119">
            <v>301.52999999999997</v>
          </cell>
          <cell r="R119">
            <v>301.52999999999997</v>
          </cell>
          <cell r="S119">
            <v>343.48</v>
          </cell>
          <cell r="T119">
            <v>0</v>
          </cell>
          <cell r="U119">
            <v>0</v>
          </cell>
          <cell r="V119">
            <v>0</v>
          </cell>
          <cell r="W119">
            <v>0</v>
          </cell>
        </row>
        <row r="120">
          <cell r="A120" t="str">
            <v>511.30</v>
          </cell>
          <cell r="B120">
            <v>115</v>
          </cell>
          <cell r="C120" t="str">
            <v>511.17</v>
          </cell>
          <cell r="D120" t="str">
            <v>Porto</v>
          </cell>
          <cell r="E120">
            <v>350</v>
          </cell>
          <cell r="F120">
            <v>332.2</v>
          </cell>
          <cell r="G120">
            <v>602.28</v>
          </cell>
          <cell r="H120">
            <v>267.55</v>
          </cell>
          <cell r="I120">
            <v>535</v>
          </cell>
          <cell r="J120">
            <v>0</v>
          </cell>
          <cell r="K120">
            <v>0</v>
          </cell>
          <cell r="L120">
            <v>0</v>
          </cell>
          <cell r="M120">
            <v>0</v>
          </cell>
          <cell r="N120">
            <v>119.05</v>
          </cell>
          <cell r="O120">
            <v>119.05</v>
          </cell>
          <cell r="P120">
            <v>119.05</v>
          </cell>
          <cell r="Q120">
            <v>119.05</v>
          </cell>
          <cell r="R120">
            <v>119.05</v>
          </cell>
          <cell r="S120">
            <v>119.05</v>
          </cell>
          <cell r="T120">
            <v>0</v>
          </cell>
          <cell r="U120">
            <v>0</v>
          </cell>
          <cell r="V120">
            <v>0</v>
          </cell>
          <cell r="W120">
            <v>0</v>
          </cell>
        </row>
        <row r="121">
          <cell r="A121" t="str">
            <v>511.40</v>
          </cell>
          <cell r="B121">
            <v>116</v>
          </cell>
          <cell r="C121" t="str">
            <v>511.11</v>
          </cell>
          <cell r="D121" t="str">
            <v>Geldverwaltung und Verwahrgebühren</v>
          </cell>
          <cell r="E121">
            <v>600</v>
          </cell>
          <cell r="F121">
            <v>1915.76</v>
          </cell>
          <cell r="G121">
            <v>1200</v>
          </cell>
          <cell r="H121">
            <v>672.6</v>
          </cell>
          <cell r="I121">
            <v>800</v>
          </cell>
          <cell r="J121">
            <v>49.9</v>
          </cell>
          <cell r="K121">
            <v>99.8</v>
          </cell>
          <cell r="L121">
            <v>149.69999999999999</v>
          </cell>
          <cell r="M121">
            <v>227.6</v>
          </cell>
          <cell r="N121">
            <v>289.39999999999998</v>
          </cell>
          <cell r="O121">
            <v>339.3</v>
          </cell>
          <cell r="P121">
            <v>389.2</v>
          </cell>
          <cell r="Q121">
            <v>439.1</v>
          </cell>
          <cell r="R121">
            <v>493.8</v>
          </cell>
          <cell r="S121">
            <v>493.8</v>
          </cell>
          <cell r="T121">
            <v>0</v>
          </cell>
          <cell r="U121">
            <v>0</v>
          </cell>
          <cell r="V121">
            <v>0</v>
          </cell>
          <cell r="W121">
            <v>0</v>
          </cell>
        </row>
        <row r="122">
          <cell r="A122" t="str">
            <v>511.60</v>
          </cell>
          <cell r="B122">
            <v>118</v>
          </cell>
          <cell r="C122" t="str">
            <v>511.41, 511.42</v>
          </cell>
          <cell r="D122" t="str">
            <v>Telekommunikation</v>
          </cell>
          <cell r="E122">
            <v>700</v>
          </cell>
          <cell r="F122">
            <v>648.78</v>
          </cell>
          <cell r="G122">
            <v>800</v>
          </cell>
          <cell r="H122">
            <v>691.87</v>
          </cell>
          <cell r="I122">
            <v>800</v>
          </cell>
          <cell r="J122">
            <v>56.56</v>
          </cell>
          <cell r="K122">
            <v>113.16000000000001</v>
          </cell>
          <cell r="L122">
            <v>167.55</v>
          </cell>
          <cell r="M122">
            <v>215.61</v>
          </cell>
          <cell r="N122">
            <v>275.19</v>
          </cell>
          <cell r="O122">
            <v>322.90000000000003</v>
          </cell>
          <cell r="P122">
            <v>382.19</v>
          </cell>
          <cell r="Q122">
            <v>443.52000000000004</v>
          </cell>
          <cell r="R122">
            <v>503.55</v>
          </cell>
          <cell r="S122">
            <v>554.19999999999993</v>
          </cell>
          <cell r="T122">
            <v>0</v>
          </cell>
          <cell r="U122">
            <v>0</v>
          </cell>
          <cell r="V122">
            <v>0</v>
          </cell>
          <cell r="W122">
            <v>0</v>
          </cell>
        </row>
        <row r="123">
          <cell r="A123" t="str">
            <v>511.70</v>
          </cell>
          <cell r="B123">
            <v>119</v>
          </cell>
          <cell r="C123" t="str">
            <v>511.44</v>
          </cell>
          <cell r="D123" t="str">
            <v>Lizenzen_Ges.</v>
          </cell>
          <cell r="E123">
            <v>3500</v>
          </cell>
          <cell r="F123">
            <v>2552.9699999999998</v>
          </cell>
          <cell r="G123">
            <v>480</v>
          </cell>
          <cell r="H123">
            <v>3744.7</v>
          </cell>
          <cell r="I123">
            <v>5300</v>
          </cell>
          <cell r="J123">
            <v>238.68</v>
          </cell>
          <cell r="K123">
            <v>477.36</v>
          </cell>
          <cell r="L123">
            <v>716.04</v>
          </cell>
          <cell r="M123">
            <v>961.26</v>
          </cell>
          <cell r="N123">
            <v>1206.48</v>
          </cell>
          <cell r="O123">
            <v>1449.56</v>
          </cell>
          <cell r="P123">
            <v>1692.64</v>
          </cell>
          <cell r="Q123">
            <v>1935.72</v>
          </cell>
          <cell r="R123">
            <v>2178.8000000000002</v>
          </cell>
          <cell r="S123">
            <v>2893.41</v>
          </cell>
          <cell r="T123">
            <v>0</v>
          </cell>
          <cell r="U123">
            <v>0</v>
          </cell>
          <cell r="V123">
            <v>0</v>
          </cell>
          <cell r="W123">
            <v>0</v>
          </cell>
        </row>
        <row r="124">
          <cell r="A124" t="str">
            <v>511.80</v>
          </cell>
          <cell r="B124">
            <v>120</v>
          </cell>
          <cell r="C124" t="str">
            <v>511.13, 511.16</v>
          </cell>
          <cell r="D124" t="str">
            <v>Publikationen, Bücher, Zeitschriften</v>
          </cell>
          <cell r="E124">
            <v>100</v>
          </cell>
          <cell r="F124">
            <v>0</v>
          </cell>
          <cell r="G124">
            <v>100</v>
          </cell>
          <cell r="H124">
            <v>111.45</v>
          </cell>
          <cell r="I124">
            <v>300</v>
          </cell>
          <cell r="J124">
            <v>0</v>
          </cell>
          <cell r="K124">
            <v>0</v>
          </cell>
          <cell r="L124">
            <v>0</v>
          </cell>
          <cell r="M124">
            <v>151</v>
          </cell>
          <cell r="N124">
            <v>151</v>
          </cell>
          <cell r="O124">
            <v>151</v>
          </cell>
          <cell r="P124">
            <v>151</v>
          </cell>
          <cell r="Q124">
            <v>151</v>
          </cell>
          <cell r="R124">
            <v>151</v>
          </cell>
          <cell r="S124">
            <v>151</v>
          </cell>
          <cell r="T124">
            <v>0</v>
          </cell>
          <cell r="U124">
            <v>0</v>
          </cell>
          <cell r="V124">
            <v>0</v>
          </cell>
          <cell r="W124">
            <v>0</v>
          </cell>
        </row>
        <row r="125">
          <cell r="A125" t="str">
            <v>511.90</v>
          </cell>
          <cell r="B125">
            <v>121</v>
          </cell>
          <cell r="C125" t="str">
            <v>511.61 (x0,4), 511.43</v>
          </cell>
          <cell r="D125" t="str">
            <v>IT-Mieten</v>
          </cell>
          <cell r="E125">
            <v>6100</v>
          </cell>
          <cell r="F125">
            <v>6482.42</v>
          </cell>
          <cell r="G125">
            <v>7950</v>
          </cell>
          <cell r="H125">
            <v>6167.58</v>
          </cell>
          <cell r="I125">
            <v>7450</v>
          </cell>
          <cell r="J125">
            <v>501.76</v>
          </cell>
          <cell r="K125">
            <v>959.61000000000013</v>
          </cell>
          <cell r="L125">
            <v>1391.3000000000002</v>
          </cell>
          <cell r="M125">
            <v>1865.5940000000001</v>
          </cell>
          <cell r="N125">
            <v>2282.0560000000005</v>
          </cell>
          <cell r="O125">
            <v>2830.4659999999999</v>
          </cell>
          <cell r="P125">
            <v>3247.7840000000001</v>
          </cell>
          <cell r="Q125">
            <v>3830.27</v>
          </cell>
          <cell r="R125">
            <v>4378.4679999999998</v>
          </cell>
          <cell r="S125">
            <v>4909.3940000000002</v>
          </cell>
          <cell r="T125">
            <v>0</v>
          </cell>
          <cell r="U125">
            <v>0</v>
          </cell>
          <cell r="V125">
            <v>0</v>
          </cell>
          <cell r="W125">
            <v>0</v>
          </cell>
        </row>
        <row r="126">
          <cell r="B126" t="e">
            <v>#REF!</v>
          </cell>
          <cell r="H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row>
        <row r="127">
          <cell r="A127" t="str">
            <v>512.00</v>
          </cell>
          <cell r="B127">
            <v>122</v>
          </cell>
          <cell r="C127">
            <v>0</v>
          </cell>
          <cell r="D127" t="str">
            <v>Anschaffungen, Reparaturen, Renovierungen</v>
          </cell>
          <cell r="E127">
            <v>1700</v>
          </cell>
          <cell r="F127">
            <v>2179.1</v>
          </cell>
          <cell r="G127">
            <v>13000</v>
          </cell>
          <cell r="H127">
            <v>2771.96</v>
          </cell>
          <cell r="I127">
            <v>14000</v>
          </cell>
          <cell r="J127">
            <v>41.95</v>
          </cell>
          <cell r="K127">
            <v>41.95</v>
          </cell>
          <cell r="L127">
            <v>41.95</v>
          </cell>
          <cell r="M127">
            <v>113.80000000000001</v>
          </cell>
          <cell r="N127">
            <v>-5.3099999999999881</v>
          </cell>
          <cell r="O127">
            <v>-5.3099999999999881</v>
          </cell>
          <cell r="P127">
            <v>36.64</v>
          </cell>
          <cell r="Q127">
            <v>727.06000000000006</v>
          </cell>
          <cell r="R127">
            <v>1056.46</v>
          </cell>
          <cell r="S127">
            <v>1098.4100000000001</v>
          </cell>
          <cell r="T127">
            <v>0</v>
          </cell>
          <cell r="U127">
            <v>0</v>
          </cell>
          <cell r="V127">
            <v>0</v>
          </cell>
          <cell r="W127">
            <v>0</v>
          </cell>
        </row>
        <row r="128">
          <cell r="A128" t="str">
            <v>512.10</v>
          </cell>
          <cell r="B128">
            <v>123</v>
          </cell>
          <cell r="C128" t="str">
            <v>511.52, 511.53</v>
          </cell>
          <cell r="D128" t="str">
            <v>Neuanschaffungen allgemein</v>
          </cell>
          <cell r="E128">
            <v>700</v>
          </cell>
          <cell r="F128">
            <v>0</v>
          </cell>
          <cell r="G128">
            <v>7000</v>
          </cell>
          <cell r="H128">
            <v>0</v>
          </cell>
          <cell r="I128">
            <v>8000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row>
        <row r="129">
          <cell r="A129" t="str">
            <v>512.20</v>
          </cell>
          <cell r="B129">
            <v>124</v>
          </cell>
          <cell r="C129" t="str">
            <v>511.51</v>
          </cell>
          <cell r="D129" t="str">
            <v>Neuanschaffungen EDV und Telekommunikation</v>
          </cell>
          <cell r="E129">
            <v>500</v>
          </cell>
          <cell r="F129">
            <v>2053.25</v>
          </cell>
          <cell r="G129">
            <v>5500</v>
          </cell>
          <cell r="H129">
            <v>2562.21</v>
          </cell>
          <cell r="I129">
            <v>5500</v>
          </cell>
          <cell r="J129">
            <v>0</v>
          </cell>
          <cell r="K129">
            <v>0</v>
          </cell>
          <cell r="L129">
            <v>0</v>
          </cell>
          <cell r="M129">
            <v>29.9</v>
          </cell>
          <cell r="N129">
            <v>-89.21</v>
          </cell>
          <cell r="O129">
            <v>-89.21</v>
          </cell>
          <cell r="P129">
            <v>-89.21</v>
          </cell>
          <cell r="Q129">
            <v>601.21</v>
          </cell>
          <cell r="R129">
            <v>930.61</v>
          </cell>
          <cell r="S129">
            <v>930.61</v>
          </cell>
          <cell r="T129">
            <v>0</v>
          </cell>
          <cell r="U129">
            <v>0</v>
          </cell>
          <cell r="V129">
            <v>0</v>
          </cell>
          <cell r="W129">
            <v>0</v>
          </cell>
        </row>
        <row r="130">
          <cell r="A130" t="str">
            <v>512.40</v>
          </cell>
          <cell r="B130">
            <v>126</v>
          </cell>
          <cell r="C130" t="str">
            <v>511.62</v>
          </cell>
          <cell r="D130" t="str">
            <v>Renovierungen und Instandhaltung</v>
          </cell>
          <cell r="E130">
            <v>500</v>
          </cell>
          <cell r="F130">
            <v>125.85</v>
          </cell>
          <cell r="G130">
            <v>500</v>
          </cell>
          <cell r="H130">
            <v>209.75</v>
          </cell>
          <cell r="I130">
            <v>500</v>
          </cell>
          <cell r="J130">
            <v>41.95</v>
          </cell>
          <cell r="K130">
            <v>41.95</v>
          </cell>
          <cell r="L130">
            <v>41.95</v>
          </cell>
          <cell r="M130">
            <v>83.9</v>
          </cell>
          <cell r="N130">
            <v>83.9</v>
          </cell>
          <cell r="O130">
            <v>83.9</v>
          </cell>
          <cell r="P130">
            <v>125.85</v>
          </cell>
          <cell r="Q130">
            <v>125.85</v>
          </cell>
          <cell r="R130">
            <v>125.85</v>
          </cell>
          <cell r="S130">
            <v>167.8</v>
          </cell>
          <cell r="T130">
            <v>0</v>
          </cell>
          <cell r="U130">
            <v>0</v>
          </cell>
          <cell r="V130">
            <v>0</v>
          </cell>
          <cell r="W130">
            <v>0</v>
          </cell>
        </row>
        <row r="131">
          <cell r="B131" t="e">
            <v>#REF!</v>
          </cell>
          <cell r="H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row>
        <row r="132">
          <cell r="A132" t="str">
            <v>527.00</v>
          </cell>
          <cell r="B132" t="e">
            <v>#REF!</v>
          </cell>
          <cell r="C132">
            <v>0</v>
          </cell>
          <cell r="D132" t="str">
            <v>Reisekosten intern</v>
          </cell>
          <cell r="E132">
            <v>82900</v>
          </cell>
          <cell r="F132">
            <v>27831.1</v>
          </cell>
          <cell r="G132">
            <v>82770</v>
          </cell>
          <cell r="H132">
            <v>34570.870000000003</v>
          </cell>
          <cell r="I132">
            <v>112000</v>
          </cell>
          <cell r="J132">
            <v>4416.2300000000005</v>
          </cell>
          <cell r="K132">
            <v>6995.6500000000005</v>
          </cell>
          <cell r="L132">
            <v>12216.46</v>
          </cell>
          <cell r="M132">
            <v>15089.66</v>
          </cell>
          <cell r="N132">
            <v>18400.310000000005</v>
          </cell>
          <cell r="O132">
            <v>22499.61</v>
          </cell>
          <cell r="P132">
            <v>25235.500000000004</v>
          </cell>
          <cell r="Q132">
            <v>29268.300000000003</v>
          </cell>
          <cell r="R132">
            <v>32526.970000000005</v>
          </cell>
          <cell r="S132">
            <v>36691.729999999996</v>
          </cell>
          <cell r="T132">
            <v>0</v>
          </cell>
          <cell r="U132">
            <v>0</v>
          </cell>
          <cell r="V132">
            <v>0</v>
          </cell>
          <cell r="W132">
            <v>0</v>
          </cell>
        </row>
        <row r="133">
          <cell r="A133" t="str">
            <v>527.10</v>
          </cell>
          <cell r="B133" t="e">
            <v>#REF!</v>
          </cell>
          <cell r="C133" t="str">
            <v>527.61, 527.62</v>
          </cell>
          <cell r="D133" t="str">
            <v>Funktion Unigremien</v>
          </cell>
          <cell r="E133">
            <v>1600</v>
          </cell>
          <cell r="F133">
            <v>296</v>
          </cell>
          <cell r="G133">
            <v>2000</v>
          </cell>
          <cell r="H133">
            <v>2183.1999999999998</v>
          </cell>
          <cell r="I133">
            <v>4000</v>
          </cell>
          <cell r="J133">
            <v>236.4</v>
          </cell>
          <cell r="K133">
            <v>257.39999999999998</v>
          </cell>
          <cell r="L133">
            <v>818.4</v>
          </cell>
          <cell r="M133">
            <v>877.2</v>
          </cell>
          <cell r="N133">
            <v>1399.6</v>
          </cell>
          <cell r="O133">
            <v>1735.3</v>
          </cell>
          <cell r="P133">
            <v>2352.2800000000002</v>
          </cell>
          <cell r="Q133">
            <v>2909.68</v>
          </cell>
          <cell r="R133">
            <v>3176.08</v>
          </cell>
          <cell r="S133">
            <v>4200.4799999999996</v>
          </cell>
          <cell r="T133">
            <v>0</v>
          </cell>
          <cell r="U133">
            <v>0</v>
          </cell>
          <cell r="V133">
            <v>0</v>
          </cell>
          <cell r="W133">
            <v>0</v>
          </cell>
        </row>
        <row r="134">
          <cell r="A134" t="str">
            <v>527.20</v>
          </cell>
          <cell r="B134" t="e">
            <v>#REF!</v>
          </cell>
          <cell r="C134" t="str">
            <v>527.21, 527.24, 527.27</v>
          </cell>
          <cell r="D134" t="str">
            <v>Fahrtkosten u. Verpfl.-Pauschale Stupa u. Ausschüsse</v>
          </cell>
          <cell r="E134">
            <v>32500</v>
          </cell>
          <cell r="F134">
            <v>10222.02</v>
          </cell>
          <cell r="G134">
            <v>30000</v>
          </cell>
          <cell r="H134">
            <v>16080.25</v>
          </cell>
          <cell r="I134">
            <v>32000</v>
          </cell>
          <cell r="J134">
            <v>1419.05</v>
          </cell>
          <cell r="K134">
            <v>3414.2300000000005</v>
          </cell>
          <cell r="L134">
            <v>5758.9500000000007</v>
          </cell>
          <cell r="M134">
            <v>6872.7999999999993</v>
          </cell>
          <cell r="N134">
            <v>7867.6</v>
          </cell>
          <cell r="O134">
            <v>10232.77</v>
          </cell>
          <cell r="P134">
            <v>11659.730000000001</v>
          </cell>
          <cell r="Q134">
            <v>13232.83</v>
          </cell>
          <cell r="R134">
            <v>14001.03</v>
          </cell>
          <cell r="S134">
            <v>15001.130000000001</v>
          </cell>
          <cell r="T134">
            <v>0</v>
          </cell>
          <cell r="U134">
            <v>0</v>
          </cell>
          <cell r="V134">
            <v>0</v>
          </cell>
          <cell r="W134">
            <v>0</v>
          </cell>
        </row>
        <row r="135">
          <cell r="A135" t="str">
            <v>527.30</v>
          </cell>
          <cell r="B135" t="e">
            <v>#REF!</v>
          </cell>
          <cell r="C135" t="str">
            <v>527.31, 527.51,.527.54, 533.20, 536.11, 538.11, 550.11, 686.12</v>
          </cell>
          <cell r="D135" t="str">
            <v>FK und VP AStA-Referate und Gäste</v>
          </cell>
          <cell r="E135">
            <v>17800</v>
          </cell>
          <cell r="F135">
            <v>3686.11</v>
          </cell>
          <cell r="G135">
            <v>16800</v>
          </cell>
          <cell r="H135">
            <v>6216.53</v>
          </cell>
          <cell r="I135">
            <v>26000</v>
          </cell>
          <cell r="J135">
            <v>1239.5999999999999</v>
          </cell>
          <cell r="K135">
            <v>1549.61</v>
          </cell>
          <cell r="L135">
            <v>1671.23</v>
          </cell>
          <cell r="M135">
            <v>2312.4800000000005</v>
          </cell>
          <cell r="N135">
            <v>2811.6800000000003</v>
          </cell>
          <cell r="O135">
            <v>3461.17</v>
          </cell>
          <cell r="P135">
            <v>3858.13</v>
          </cell>
          <cell r="Q135">
            <v>4547.43</v>
          </cell>
          <cell r="R135">
            <v>5412.18</v>
          </cell>
          <cell r="S135">
            <v>5637.18</v>
          </cell>
          <cell r="T135">
            <v>0</v>
          </cell>
          <cell r="U135">
            <v>0</v>
          </cell>
          <cell r="V135">
            <v>0</v>
          </cell>
          <cell r="W135">
            <v>0</v>
          </cell>
        </row>
        <row r="136">
          <cell r="A136" t="str">
            <v>527.40</v>
          </cell>
          <cell r="B136">
            <v>131</v>
          </cell>
          <cell r="C136">
            <v>0</v>
          </cell>
          <cell r="D136" t="str">
            <v>Fahrtkosten u. Verpflegungspausch. Fachschaften</v>
          </cell>
          <cell r="E136">
            <v>28500</v>
          </cell>
          <cell r="F136">
            <v>12015.11</v>
          </cell>
          <cell r="G136">
            <v>30970</v>
          </cell>
          <cell r="H136">
            <v>9641.39</v>
          </cell>
          <cell r="I136">
            <v>45000</v>
          </cell>
          <cell r="J136">
            <v>1521.18</v>
          </cell>
          <cell r="K136">
            <v>1774.41</v>
          </cell>
          <cell r="L136">
            <v>3967.8799999999997</v>
          </cell>
          <cell r="M136">
            <v>5027.1799999999994</v>
          </cell>
          <cell r="N136">
            <v>5960.73</v>
          </cell>
          <cell r="O136">
            <v>6709.67</v>
          </cell>
          <cell r="P136">
            <v>7004.6600000000017</v>
          </cell>
          <cell r="Q136">
            <v>8217.66</v>
          </cell>
          <cell r="R136">
            <v>9270.98</v>
          </cell>
          <cell r="S136">
            <v>11090.839999999998</v>
          </cell>
          <cell r="T136">
            <v>0</v>
          </cell>
          <cell r="U136">
            <v>0</v>
          </cell>
          <cell r="V136">
            <v>0</v>
          </cell>
          <cell r="W136">
            <v>0</v>
          </cell>
        </row>
        <row r="137">
          <cell r="A137" t="str">
            <v>527.41</v>
          </cell>
          <cell r="B137">
            <v>132</v>
          </cell>
          <cell r="C137" t="str">
            <v>686.32</v>
          </cell>
          <cell r="D137" t="str">
            <v>FSR WiWi</v>
          </cell>
          <cell r="E137">
            <v>14000</v>
          </cell>
          <cell r="F137">
            <v>8591.16</v>
          </cell>
          <cell r="G137">
            <v>15000</v>
          </cell>
          <cell r="H137">
            <v>4457.1000000000004</v>
          </cell>
          <cell r="I137">
            <v>15000</v>
          </cell>
          <cell r="J137">
            <v>910.73</v>
          </cell>
          <cell r="K137">
            <v>1006.23</v>
          </cell>
          <cell r="L137">
            <v>2528.83</v>
          </cell>
          <cell r="M137">
            <v>3268.63</v>
          </cell>
          <cell r="N137">
            <v>3498.38</v>
          </cell>
          <cell r="O137">
            <v>4075.27</v>
          </cell>
          <cell r="P137">
            <v>4075.27</v>
          </cell>
          <cell r="Q137">
            <v>4615.25</v>
          </cell>
          <cell r="R137">
            <v>5504.65</v>
          </cell>
          <cell r="S137">
            <v>6968.65</v>
          </cell>
          <cell r="T137">
            <v>0</v>
          </cell>
          <cell r="U137">
            <v>0</v>
          </cell>
          <cell r="V137">
            <v>0</v>
          </cell>
          <cell r="W137">
            <v>0</v>
          </cell>
        </row>
        <row r="138">
          <cell r="A138" t="str">
            <v>527.42</v>
          </cell>
          <cell r="B138">
            <v>133</v>
          </cell>
          <cell r="C138" t="str">
            <v>686.42</v>
          </cell>
          <cell r="D138" t="str">
            <v>FSR KSW</v>
          </cell>
          <cell r="E138">
            <v>1000</v>
          </cell>
          <cell r="F138">
            <v>501.44</v>
          </cell>
          <cell r="G138">
            <v>3570</v>
          </cell>
          <cell r="H138">
            <v>995.33</v>
          </cell>
          <cell r="I138">
            <v>6000</v>
          </cell>
          <cell r="J138">
            <v>0</v>
          </cell>
          <cell r="K138">
            <v>80.33</v>
          </cell>
          <cell r="L138">
            <v>80.33</v>
          </cell>
          <cell r="M138">
            <v>80.33</v>
          </cell>
          <cell r="N138">
            <v>80.33</v>
          </cell>
          <cell r="O138">
            <v>111.83</v>
          </cell>
          <cell r="P138">
            <v>111.83</v>
          </cell>
          <cell r="Q138">
            <v>111.83</v>
          </cell>
          <cell r="R138">
            <v>111.83</v>
          </cell>
          <cell r="S138">
            <v>111.83</v>
          </cell>
          <cell r="T138">
            <v>0</v>
          </cell>
          <cell r="U138">
            <v>0</v>
          </cell>
          <cell r="V138">
            <v>0</v>
          </cell>
          <cell r="W138">
            <v>0</v>
          </cell>
        </row>
        <row r="139">
          <cell r="A139" t="str">
            <v>527.43</v>
          </cell>
          <cell r="B139">
            <v>134</v>
          </cell>
          <cell r="C139" t="str">
            <v>686.52</v>
          </cell>
          <cell r="D139" t="str">
            <v>FSR PSY</v>
          </cell>
          <cell r="E139">
            <v>1500</v>
          </cell>
          <cell r="F139">
            <v>897.76</v>
          </cell>
          <cell r="G139">
            <v>2600</v>
          </cell>
          <cell r="H139">
            <v>1081.3800000000001</v>
          </cell>
          <cell r="I139">
            <v>6000</v>
          </cell>
          <cell r="J139">
            <v>0</v>
          </cell>
          <cell r="K139">
            <v>0</v>
          </cell>
          <cell r="L139">
            <v>0</v>
          </cell>
          <cell r="M139">
            <v>0</v>
          </cell>
          <cell r="N139">
            <v>138</v>
          </cell>
          <cell r="O139">
            <v>138</v>
          </cell>
          <cell r="P139">
            <v>238.6</v>
          </cell>
          <cell r="Q139">
            <v>705.42</v>
          </cell>
          <cell r="R139">
            <v>705.42</v>
          </cell>
          <cell r="S139">
            <v>705.42</v>
          </cell>
          <cell r="T139">
            <v>0</v>
          </cell>
          <cell r="U139">
            <v>0</v>
          </cell>
          <cell r="V139">
            <v>0</v>
          </cell>
          <cell r="W139">
            <v>0</v>
          </cell>
        </row>
        <row r="140">
          <cell r="A140" t="str">
            <v>527.44</v>
          </cell>
          <cell r="B140">
            <v>135</v>
          </cell>
          <cell r="C140" t="str">
            <v>686.62</v>
          </cell>
          <cell r="D140" t="str">
            <v>FSR ReWi</v>
          </cell>
          <cell r="E140">
            <v>8000</v>
          </cell>
          <cell r="F140">
            <v>1852.7</v>
          </cell>
          <cell r="G140">
            <v>7800</v>
          </cell>
          <cell r="H140">
            <v>2926.88</v>
          </cell>
          <cell r="I140">
            <v>12000</v>
          </cell>
          <cell r="J140">
            <v>610.45000000000005</v>
          </cell>
          <cell r="K140">
            <v>610.45000000000005</v>
          </cell>
          <cell r="L140">
            <v>1281.32</v>
          </cell>
          <cell r="M140">
            <v>1600.82</v>
          </cell>
          <cell r="N140">
            <v>2166.62</v>
          </cell>
          <cell r="O140">
            <v>2275.7199999999998</v>
          </cell>
          <cell r="P140">
            <v>2470.11</v>
          </cell>
          <cell r="Q140">
            <v>2676.31</v>
          </cell>
          <cell r="R140">
            <v>2676.31</v>
          </cell>
          <cell r="S140">
            <v>2676.31</v>
          </cell>
          <cell r="T140">
            <v>0</v>
          </cell>
          <cell r="U140">
            <v>0</v>
          </cell>
          <cell r="V140">
            <v>0</v>
          </cell>
          <cell r="W140">
            <v>0</v>
          </cell>
        </row>
        <row r="141">
          <cell r="A141" t="str">
            <v>527.45</v>
          </cell>
          <cell r="B141">
            <v>136</v>
          </cell>
          <cell r="C141" t="str">
            <v>686.72</v>
          </cell>
          <cell r="D141" t="str">
            <v>FSR M+I</v>
          </cell>
          <cell r="E141">
            <v>4000</v>
          </cell>
          <cell r="F141">
            <v>172.05</v>
          </cell>
          <cell r="G141">
            <v>2000</v>
          </cell>
          <cell r="H141">
            <v>180.7</v>
          </cell>
          <cell r="I141">
            <v>6000</v>
          </cell>
          <cell r="J141">
            <v>0</v>
          </cell>
          <cell r="K141">
            <v>77.400000000000006</v>
          </cell>
          <cell r="L141">
            <v>77.400000000000006</v>
          </cell>
          <cell r="M141">
            <v>77.400000000000006</v>
          </cell>
          <cell r="N141">
            <v>77.400000000000006</v>
          </cell>
          <cell r="O141">
            <v>108.85</v>
          </cell>
          <cell r="P141">
            <v>108.85</v>
          </cell>
          <cell r="Q141">
            <v>108.85</v>
          </cell>
          <cell r="R141">
            <v>272.77</v>
          </cell>
          <cell r="S141">
            <v>628.63</v>
          </cell>
          <cell r="T141">
            <v>0</v>
          </cell>
          <cell r="U141">
            <v>0</v>
          </cell>
          <cell r="V141">
            <v>0</v>
          </cell>
          <cell r="W141">
            <v>0</v>
          </cell>
        </row>
        <row r="142">
          <cell r="A142" t="str">
            <v>527.50</v>
          </cell>
          <cell r="B142">
            <v>137</v>
          </cell>
          <cell r="C142" t="str">
            <v>686.22</v>
          </cell>
          <cell r="D142" t="str">
            <v>Fachschaftsrätekonferenz</v>
          </cell>
          <cell r="E142">
            <v>2500</v>
          </cell>
          <cell r="F142">
            <v>1611.86</v>
          </cell>
          <cell r="G142">
            <v>3000</v>
          </cell>
          <cell r="H142">
            <v>449.5</v>
          </cell>
          <cell r="I142">
            <v>5000</v>
          </cell>
          <cell r="J142">
            <v>0</v>
          </cell>
          <cell r="K142">
            <v>0</v>
          </cell>
          <cell r="L142">
            <v>0</v>
          </cell>
          <cell r="M142">
            <v>0</v>
          </cell>
          <cell r="N142">
            <v>360.7</v>
          </cell>
          <cell r="O142">
            <v>360.7</v>
          </cell>
          <cell r="P142">
            <v>360.7</v>
          </cell>
          <cell r="Q142">
            <v>360.7</v>
          </cell>
          <cell r="R142">
            <v>666.7</v>
          </cell>
          <cell r="S142">
            <v>762.1</v>
          </cell>
          <cell r="T142">
            <v>0</v>
          </cell>
          <cell r="U142">
            <v>0</v>
          </cell>
          <cell r="V142">
            <v>0</v>
          </cell>
          <cell r="W142">
            <v>0</v>
          </cell>
        </row>
        <row r="143">
          <cell r="B143">
            <v>138</v>
          </cell>
          <cell r="H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row>
        <row r="144">
          <cell r="A144" t="str">
            <v>529.00</v>
          </cell>
          <cell r="B144">
            <v>139</v>
          </cell>
          <cell r="C144">
            <v>0</v>
          </cell>
          <cell r="D144" t="str">
            <v>Raum- und Unterkunftskosten intern</v>
          </cell>
          <cell r="E144">
            <v>24810</v>
          </cell>
          <cell r="F144">
            <v>9119.2000000000007</v>
          </cell>
          <cell r="G144">
            <v>43070</v>
          </cell>
          <cell r="H144">
            <v>13600.53</v>
          </cell>
          <cell r="I144">
            <v>31276</v>
          </cell>
          <cell r="J144">
            <v>1877.6000000000001</v>
          </cell>
          <cell r="K144">
            <v>3036.7999999999997</v>
          </cell>
          <cell r="L144">
            <v>5038.3099999999995</v>
          </cell>
          <cell r="M144">
            <v>6235.0199999999995</v>
          </cell>
          <cell r="N144">
            <v>7668.5199999999995</v>
          </cell>
          <cell r="O144">
            <v>8800.4699999999993</v>
          </cell>
          <cell r="P144">
            <v>9431.67</v>
          </cell>
          <cell r="Q144">
            <v>13843.36</v>
          </cell>
          <cell r="R144">
            <v>14670.689999999999</v>
          </cell>
          <cell r="S144">
            <v>15346.72</v>
          </cell>
          <cell r="T144">
            <v>0</v>
          </cell>
          <cell r="U144">
            <v>0</v>
          </cell>
          <cell r="V144">
            <v>0</v>
          </cell>
          <cell r="W144">
            <v>0</v>
          </cell>
        </row>
        <row r="145">
          <cell r="A145" t="str">
            <v>529.10</v>
          </cell>
          <cell r="B145">
            <v>140</v>
          </cell>
          <cell r="C145" t="str">
            <v>n.a.</v>
          </cell>
          <cell r="D145" t="str">
            <v>Funktion Unigremien</v>
          </cell>
          <cell r="E145">
            <v>0</v>
          </cell>
          <cell r="F145">
            <v>0</v>
          </cell>
          <cell r="G145">
            <v>500</v>
          </cell>
          <cell r="H145">
            <v>0</v>
          </cell>
          <cell r="I145">
            <v>1000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row>
        <row r="146">
          <cell r="A146" t="str">
            <v>529.20</v>
          </cell>
          <cell r="B146">
            <v>141</v>
          </cell>
          <cell r="C146" t="str">
            <v>527.22, 527.23, 527.25, 527.26,527.28, 527.29</v>
          </cell>
          <cell r="D146" t="str">
            <v>Studierendenparlament und Ausschüsse</v>
          </cell>
          <cell r="E146">
            <v>10350</v>
          </cell>
          <cell r="F146">
            <v>4807.57</v>
          </cell>
          <cell r="G146">
            <v>13000</v>
          </cell>
          <cell r="H146">
            <v>7621.5</v>
          </cell>
          <cell r="I146">
            <v>15000</v>
          </cell>
          <cell r="J146">
            <v>1004</v>
          </cell>
          <cell r="K146">
            <v>1958.2</v>
          </cell>
          <cell r="L146">
            <v>3478</v>
          </cell>
          <cell r="M146">
            <v>3533.75</v>
          </cell>
          <cell r="N146">
            <v>4761.75</v>
          </cell>
          <cell r="O146">
            <v>4995.3500000000004</v>
          </cell>
          <cell r="P146">
            <v>5022.3500000000004</v>
          </cell>
          <cell r="Q146">
            <v>8458.57</v>
          </cell>
          <cell r="R146">
            <v>8358.82</v>
          </cell>
          <cell r="S146">
            <v>8358.82</v>
          </cell>
          <cell r="T146">
            <v>0</v>
          </cell>
          <cell r="U146">
            <v>0</v>
          </cell>
          <cell r="V146">
            <v>0</v>
          </cell>
          <cell r="W146">
            <v>0</v>
          </cell>
        </row>
        <row r="147">
          <cell r="A147" t="str">
            <v>529.30</v>
          </cell>
          <cell r="B147">
            <v>142</v>
          </cell>
          <cell r="C147" t="str">
            <v>527.32, 527.33, 527.52, 527.53, 527.55, 527.56, 550.13, 686.14</v>
          </cell>
          <cell r="D147" t="str">
            <v>AStA-Referate und Gäste</v>
          </cell>
          <cell r="E147">
            <v>5960</v>
          </cell>
          <cell r="F147">
            <v>1551.23</v>
          </cell>
          <cell r="G147">
            <v>16250</v>
          </cell>
          <cell r="H147">
            <v>2088.4499999999998</v>
          </cell>
          <cell r="I147">
            <v>2206</v>
          </cell>
          <cell r="J147">
            <v>96</v>
          </cell>
          <cell r="K147">
            <v>224</v>
          </cell>
          <cell r="L147">
            <v>320</v>
          </cell>
          <cell r="M147">
            <v>454.16</v>
          </cell>
          <cell r="N147">
            <v>518.16</v>
          </cell>
          <cell r="O147">
            <v>1204.51</v>
          </cell>
          <cell r="P147">
            <v>1364.51</v>
          </cell>
          <cell r="Q147">
            <v>1669.51</v>
          </cell>
          <cell r="R147">
            <v>2066.5100000000002</v>
          </cell>
          <cell r="S147">
            <v>2354.5100000000002</v>
          </cell>
          <cell r="T147">
            <v>0</v>
          </cell>
          <cell r="U147">
            <v>0</v>
          </cell>
          <cell r="V147">
            <v>0</v>
          </cell>
          <cell r="W147">
            <v>0</v>
          </cell>
        </row>
        <row r="148">
          <cell r="A148" t="str">
            <v>529.40</v>
          </cell>
          <cell r="B148">
            <v>143</v>
          </cell>
          <cell r="C148">
            <v>0</v>
          </cell>
          <cell r="D148" t="str">
            <v>Raum- und Unterkunftskosten Fachschaften</v>
          </cell>
          <cell r="E148">
            <v>7000</v>
          </cell>
          <cell r="F148">
            <v>2117.4</v>
          </cell>
          <cell r="G148">
            <v>11320</v>
          </cell>
          <cell r="H148">
            <v>3570.58</v>
          </cell>
          <cell r="I148">
            <v>11070</v>
          </cell>
          <cell r="J148">
            <v>777.59999999999991</v>
          </cell>
          <cell r="K148">
            <v>854.59999999999991</v>
          </cell>
          <cell r="L148">
            <v>1240.31</v>
          </cell>
          <cell r="M148">
            <v>1626.31</v>
          </cell>
          <cell r="N148">
            <v>1767.81</v>
          </cell>
          <cell r="O148">
            <v>1979.81</v>
          </cell>
          <cell r="P148">
            <v>2424.0100000000002</v>
          </cell>
          <cell r="Q148">
            <v>3094.4799999999996</v>
          </cell>
          <cell r="R148">
            <v>3624.5599999999995</v>
          </cell>
          <cell r="S148">
            <v>4012.59</v>
          </cell>
          <cell r="T148">
            <v>0</v>
          </cell>
          <cell r="U148">
            <v>0</v>
          </cell>
          <cell r="V148">
            <v>0</v>
          </cell>
          <cell r="W148">
            <v>0</v>
          </cell>
        </row>
        <row r="149">
          <cell r="A149" t="str">
            <v>529.41</v>
          </cell>
          <cell r="B149">
            <v>144</v>
          </cell>
          <cell r="C149" t="str">
            <v>686.34</v>
          </cell>
          <cell r="D149" t="str">
            <v>WiWi</v>
          </cell>
          <cell r="E149">
            <v>3000</v>
          </cell>
          <cell r="F149">
            <v>1120</v>
          </cell>
          <cell r="G149">
            <v>4200</v>
          </cell>
          <cell r="H149">
            <v>1647.92</v>
          </cell>
          <cell r="I149">
            <v>3000</v>
          </cell>
          <cell r="J149">
            <v>298.89999999999998</v>
          </cell>
          <cell r="K149">
            <v>375.9</v>
          </cell>
          <cell r="L149">
            <v>599.9</v>
          </cell>
          <cell r="M149">
            <v>663.9</v>
          </cell>
          <cell r="N149">
            <v>663.9</v>
          </cell>
          <cell r="O149">
            <v>875.9</v>
          </cell>
          <cell r="P149">
            <v>1171.9000000000001</v>
          </cell>
          <cell r="Q149">
            <v>1810.37</v>
          </cell>
          <cell r="R149">
            <v>2100.4499999999998</v>
          </cell>
          <cell r="S149">
            <v>2404.48</v>
          </cell>
          <cell r="T149">
            <v>0</v>
          </cell>
          <cell r="U149">
            <v>0</v>
          </cell>
          <cell r="V149">
            <v>0</v>
          </cell>
          <cell r="W149">
            <v>0</v>
          </cell>
        </row>
        <row r="150">
          <cell r="A150" t="str">
            <v>529.42</v>
          </cell>
          <cell r="B150">
            <v>145</v>
          </cell>
          <cell r="C150" t="str">
            <v>686.44</v>
          </cell>
          <cell r="D150" t="str">
            <v>KSW</v>
          </cell>
          <cell r="E150">
            <v>500</v>
          </cell>
          <cell r="F150">
            <v>302.39999999999998</v>
          </cell>
          <cell r="G150">
            <v>2670</v>
          </cell>
          <cell r="H150">
            <v>320</v>
          </cell>
          <cell r="I150">
            <v>2670</v>
          </cell>
          <cell r="J150">
            <v>0</v>
          </cell>
          <cell r="K150">
            <v>0</v>
          </cell>
          <cell r="L150">
            <v>0</v>
          </cell>
          <cell r="M150">
            <v>0</v>
          </cell>
          <cell r="N150">
            <v>0</v>
          </cell>
          <cell r="O150">
            <v>0</v>
          </cell>
          <cell r="P150">
            <v>0</v>
          </cell>
          <cell r="Q150">
            <v>0</v>
          </cell>
          <cell r="R150">
            <v>0</v>
          </cell>
          <cell r="S150">
            <v>32</v>
          </cell>
          <cell r="T150">
            <v>0</v>
          </cell>
          <cell r="U150">
            <v>0</v>
          </cell>
          <cell r="V150">
            <v>0</v>
          </cell>
          <cell r="W150">
            <v>0</v>
          </cell>
        </row>
        <row r="151">
          <cell r="A151" t="str">
            <v>529.43</v>
          </cell>
          <cell r="B151">
            <v>146</v>
          </cell>
          <cell r="C151" t="str">
            <v>686.54</v>
          </cell>
          <cell r="D151" t="str">
            <v>PSY</v>
          </cell>
          <cell r="E151">
            <v>500</v>
          </cell>
          <cell r="F151">
            <v>551</v>
          </cell>
          <cell r="G151">
            <v>1600</v>
          </cell>
          <cell r="H151">
            <v>266.97000000000003</v>
          </cell>
          <cell r="I151">
            <v>1400</v>
          </cell>
          <cell r="J151">
            <v>0</v>
          </cell>
          <cell r="K151">
            <v>0</v>
          </cell>
          <cell r="L151">
            <v>0</v>
          </cell>
          <cell r="M151">
            <v>94</v>
          </cell>
          <cell r="N151">
            <v>94</v>
          </cell>
          <cell r="O151">
            <v>94</v>
          </cell>
          <cell r="P151">
            <v>94</v>
          </cell>
          <cell r="Q151">
            <v>94</v>
          </cell>
          <cell r="R151">
            <v>94</v>
          </cell>
          <cell r="S151">
            <v>94</v>
          </cell>
          <cell r="T151">
            <v>0</v>
          </cell>
          <cell r="U151">
            <v>0</v>
          </cell>
          <cell r="V151">
            <v>0</v>
          </cell>
          <cell r="W151">
            <v>0</v>
          </cell>
        </row>
        <row r="152">
          <cell r="A152" t="str">
            <v>529.44</v>
          </cell>
          <cell r="B152">
            <v>147</v>
          </cell>
          <cell r="C152" t="str">
            <v>686.64</v>
          </cell>
          <cell r="D152" t="str">
            <v>ReWi</v>
          </cell>
          <cell r="E152">
            <v>2000</v>
          </cell>
          <cell r="F152">
            <v>144</v>
          </cell>
          <cell r="G152">
            <v>1700</v>
          </cell>
          <cell r="H152">
            <v>1335.69</v>
          </cell>
          <cell r="I152">
            <v>2500</v>
          </cell>
          <cell r="J152">
            <v>478.7</v>
          </cell>
          <cell r="K152">
            <v>478.7</v>
          </cell>
          <cell r="L152">
            <v>640.41</v>
          </cell>
          <cell r="M152">
            <v>868.41</v>
          </cell>
          <cell r="N152">
            <v>1009.91</v>
          </cell>
          <cell r="O152">
            <v>1009.91</v>
          </cell>
          <cell r="P152">
            <v>1158.1099999999999</v>
          </cell>
          <cell r="Q152">
            <v>1158.1099999999999</v>
          </cell>
          <cell r="R152">
            <v>1158.1099999999999</v>
          </cell>
          <cell r="S152">
            <v>1158.1099999999999</v>
          </cell>
          <cell r="T152">
            <v>0</v>
          </cell>
          <cell r="U152">
            <v>0</v>
          </cell>
          <cell r="V152">
            <v>0</v>
          </cell>
          <cell r="W152">
            <v>0</v>
          </cell>
        </row>
        <row r="153">
          <cell r="A153" t="str">
            <v>529.45</v>
          </cell>
          <cell r="B153">
            <v>148</v>
          </cell>
          <cell r="C153" t="str">
            <v>686.74</v>
          </cell>
          <cell r="D153" t="str">
            <v>M+I</v>
          </cell>
          <cell r="E153">
            <v>1000</v>
          </cell>
          <cell r="F153">
            <v>0</v>
          </cell>
          <cell r="G153">
            <v>1150</v>
          </cell>
          <cell r="H153">
            <v>0</v>
          </cell>
          <cell r="I153">
            <v>1500</v>
          </cell>
          <cell r="J153">
            <v>0</v>
          </cell>
          <cell r="K153">
            <v>0</v>
          </cell>
          <cell r="L153">
            <v>0</v>
          </cell>
          <cell r="M153">
            <v>0</v>
          </cell>
          <cell r="N153">
            <v>0</v>
          </cell>
          <cell r="O153">
            <v>0</v>
          </cell>
          <cell r="P153">
            <v>0</v>
          </cell>
          <cell r="Q153">
            <v>32</v>
          </cell>
          <cell r="R153">
            <v>272</v>
          </cell>
          <cell r="S153">
            <v>324</v>
          </cell>
          <cell r="T153">
            <v>0</v>
          </cell>
          <cell r="U153">
            <v>0</v>
          </cell>
          <cell r="V153">
            <v>0</v>
          </cell>
          <cell r="W153">
            <v>0</v>
          </cell>
        </row>
        <row r="154">
          <cell r="A154" t="str">
            <v>529.50</v>
          </cell>
          <cell r="B154">
            <v>149</v>
          </cell>
          <cell r="C154" t="str">
            <v>686.24</v>
          </cell>
          <cell r="D154" t="str">
            <v>FSRK</v>
          </cell>
          <cell r="E154">
            <v>1500</v>
          </cell>
          <cell r="F154">
            <v>643</v>
          </cell>
          <cell r="G154">
            <v>2000</v>
          </cell>
          <cell r="H154">
            <v>320</v>
          </cell>
          <cell r="I154">
            <v>2000</v>
          </cell>
          <cell r="J154">
            <v>0</v>
          </cell>
          <cell r="K154">
            <v>0</v>
          </cell>
          <cell r="L154">
            <v>0</v>
          </cell>
          <cell r="M154">
            <v>620.79999999999995</v>
          </cell>
          <cell r="N154">
            <v>620.79999999999995</v>
          </cell>
          <cell r="O154">
            <v>620.79999999999995</v>
          </cell>
          <cell r="P154">
            <v>620.79999999999995</v>
          </cell>
          <cell r="Q154">
            <v>620.79999999999995</v>
          </cell>
          <cell r="R154">
            <v>620.79999999999995</v>
          </cell>
          <cell r="S154">
            <v>620.79999999999995</v>
          </cell>
          <cell r="T154">
            <v>0</v>
          </cell>
          <cell r="U154">
            <v>0</v>
          </cell>
          <cell r="V154">
            <v>0</v>
          </cell>
          <cell r="W154">
            <v>0</v>
          </cell>
        </row>
        <row r="155">
          <cell r="B155">
            <v>150</v>
          </cell>
          <cell r="H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t="str">
            <v>531.00</v>
          </cell>
          <cell r="B156">
            <v>151</v>
          </cell>
          <cell r="C156">
            <v>0</v>
          </cell>
          <cell r="D156" t="str">
            <v>Bewirtungs- und Repräsentationskosten Intern</v>
          </cell>
          <cell r="E156">
            <v>6850</v>
          </cell>
          <cell r="F156">
            <v>2694.37</v>
          </cell>
          <cell r="G156">
            <v>12800</v>
          </cell>
          <cell r="H156">
            <v>5105.21</v>
          </cell>
          <cell r="I156">
            <v>17498</v>
          </cell>
          <cell r="J156">
            <v>443.87</v>
          </cell>
          <cell r="K156">
            <v>943.1</v>
          </cell>
          <cell r="L156">
            <v>2177.34</v>
          </cell>
          <cell r="M156">
            <v>2658.0899999999997</v>
          </cell>
          <cell r="N156">
            <v>3279.6499999999996</v>
          </cell>
          <cell r="O156">
            <v>3545</v>
          </cell>
          <cell r="P156">
            <v>3545</v>
          </cell>
          <cell r="Q156">
            <v>4289.33</v>
          </cell>
          <cell r="R156">
            <v>4563.13</v>
          </cell>
          <cell r="S156">
            <v>4563.13</v>
          </cell>
          <cell r="T156">
            <v>0</v>
          </cell>
          <cell r="U156">
            <v>0</v>
          </cell>
          <cell r="V156">
            <v>0</v>
          </cell>
          <cell r="W156">
            <v>0</v>
          </cell>
        </row>
        <row r="157">
          <cell r="A157" t="str">
            <v>531.10</v>
          </cell>
          <cell r="B157">
            <v>152</v>
          </cell>
          <cell r="C157" t="str">
            <v>529.20</v>
          </cell>
          <cell r="D157" t="str">
            <v>Studierendenparlament und Ausschüsse</v>
          </cell>
          <cell r="E157">
            <v>2500</v>
          </cell>
          <cell r="F157">
            <v>1810.85</v>
          </cell>
          <cell r="G157">
            <v>2500</v>
          </cell>
          <cell r="H157">
            <v>3595.3</v>
          </cell>
          <cell r="I157">
            <v>8000</v>
          </cell>
          <cell r="J157">
            <v>271.69</v>
          </cell>
          <cell r="K157">
            <v>544.09</v>
          </cell>
          <cell r="L157">
            <v>1775.13</v>
          </cell>
          <cell r="M157">
            <v>1996.38</v>
          </cell>
          <cell r="N157">
            <v>2506.23</v>
          </cell>
          <cell r="O157">
            <v>2506.23</v>
          </cell>
          <cell r="P157">
            <v>2506.23</v>
          </cell>
          <cell r="Q157">
            <v>3211.4</v>
          </cell>
          <cell r="R157">
            <v>3211.4</v>
          </cell>
          <cell r="S157">
            <v>3211.4</v>
          </cell>
          <cell r="T157">
            <v>0</v>
          </cell>
          <cell r="U157">
            <v>0</v>
          </cell>
          <cell r="V157">
            <v>0</v>
          </cell>
          <cell r="W157">
            <v>0</v>
          </cell>
        </row>
        <row r="158">
          <cell r="A158" t="str">
            <v>531.20</v>
          </cell>
          <cell r="B158">
            <v>153</v>
          </cell>
          <cell r="C158" t="str">
            <v>529.10</v>
          </cell>
          <cell r="D158" t="str">
            <v>AStA-Referate + Gäste</v>
          </cell>
          <cell r="E158">
            <v>2500</v>
          </cell>
          <cell r="F158">
            <v>732.35</v>
          </cell>
          <cell r="G158">
            <v>5050</v>
          </cell>
          <cell r="H158">
            <v>1080.08</v>
          </cell>
          <cell r="I158">
            <v>2548</v>
          </cell>
          <cell r="J158">
            <v>172.18</v>
          </cell>
          <cell r="K158">
            <v>399.01</v>
          </cell>
          <cell r="L158">
            <v>399.01</v>
          </cell>
          <cell r="M158">
            <v>498.89</v>
          </cell>
          <cell r="N158">
            <v>578.6</v>
          </cell>
          <cell r="O158">
            <v>843.95</v>
          </cell>
          <cell r="P158">
            <v>843.95</v>
          </cell>
          <cell r="Q158">
            <v>881.72</v>
          </cell>
          <cell r="R158">
            <v>976.14</v>
          </cell>
          <cell r="S158">
            <v>976.14</v>
          </cell>
          <cell r="T158">
            <v>0</v>
          </cell>
          <cell r="U158">
            <v>0</v>
          </cell>
          <cell r="V158">
            <v>0</v>
          </cell>
          <cell r="W158">
            <v>0</v>
          </cell>
        </row>
        <row r="159">
          <cell r="A159" t="str">
            <v>531.30</v>
          </cell>
          <cell r="B159">
            <v>154</v>
          </cell>
          <cell r="C159" t="str">
            <v>529.30</v>
          </cell>
          <cell r="D159" t="str">
            <v>Sonstige (Kleinigkeiten in der AStA-Küche, Getränke)</v>
          </cell>
          <cell r="E159">
            <v>100</v>
          </cell>
          <cell r="F159">
            <v>0</v>
          </cell>
          <cell r="G159">
            <v>1000</v>
          </cell>
          <cell r="H159">
            <v>214.9</v>
          </cell>
          <cell r="I159">
            <v>1000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row>
        <row r="160">
          <cell r="A160" t="str">
            <v>531.40</v>
          </cell>
          <cell r="B160">
            <v>155</v>
          </cell>
          <cell r="C160">
            <v>0</v>
          </cell>
          <cell r="D160" t="str">
            <v>Bewirtung und Repräsentation Fachschaften</v>
          </cell>
          <cell r="E160">
            <v>1550</v>
          </cell>
          <cell r="F160">
            <v>142.19</v>
          </cell>
          <cell r="G160">
            <v>3750</v>
          </cell>
          <cell r="H160">
            <v>214.9</v>
          </cell>
          <cell r="I160">
            <v>4450</v>
          </cell>
          <cell r="J160">
            <v>0</v>
          </cell>
          <cell r="K160">
            <v>0</v>
          </cell>
          <cell r="L160">
            <v>3.2</v>
          </cell>
          <cell r="M160">
            <v>3.2</v>
          </cell>
          <cell r="N160">
            <v>35.200000000000003</v>
          </cell>
          <cell r="O160">
            <v>35.200000000000003</v>
          </cell>
          <cell r="P160">
            <v>35.200000000000003</v>
          </cell>
          <cell r="Q160">
            <v>36.590000000000003</v>
          </cell>
          <cell r="R160">
            <v>215.97</v>
          </cell>
          <cell r="S160">
            <v>215.97</v>
          </cell>
          <cell r="T160">
            <v>0</v>
          </cell>
          <cell r="U160">
            <v>0</v>
          </cell>
          <cell r="V160">
            <v>0</v>
          </cell>
          <cell r="W160">
            <v>0</v>
          </cell>
        </row>
        <row r="161">
          <cell r="A161" t="str">
            <v>531.41</v>
          </cell>
          <cell r="B161">
            <v>156</v>
          </cell>
          <cell r="C161" t="str">
            <v>686.35 (x0,1)</v>
          </cell>
          <cell r="D161" t="str">
            <v>WiWi</v>
          </cell>
          <cell r="E161">
            <v>200</v>
          </cell>
          <cell r="F161">
            <v>118.19</v>
          </cell>
          <cell r="G161">
            <v>1000</v>
          </cell>
          <cell r="H161">
            <v>14.9</v>
          </cell>
          <cell r="I161">
            <v>2000</v>
          </cell>
          <cell r="J161">
            <v>0</v>
          </cell>
          <cell r="K161">
            <v>0</v>
          </cell>
          <cell r="L161">
            <v>3.2</v>
          </cell>
          <cell r="M161">
            <v>3.2</v>
          </cell>
          <cell r="N161">
            <v>3.2</v>
          </cell>
          <cell r="O161">
            <v>3.2</v>
          </cell>
          <cell r="P161">
            <v>3.2</v>
          </cell>
          <cell r="Q161">
            <v>4.59</v>
          </cell>
          <cell r="R161">
            <v>4.59</v>
          </cell>
          <cell r="S161">
            <v>4.59</v>
          </cell>
          <cell r="T161">
            <v>0</v>
          </cell>
          <cell r="U161">
            <v>0</v>
          </cell>
          <cell r="V161">
            <v>0</v>
          </cell>
          <cell r="W161">
            <v>0</v>
          </cell>
        </row>
        <row r="162">
          <cell r="A162" t="str">
            <v>531.42</v>
          </cell>
          <cell r="B162">
            <v>157</v>
          </cell>
          <cell r="C162" t="str">
            <v>686.45</v>
          </cell>
          <cell r="D162" t="str">
            <v>KSW</v>
          </cell>
          <cell r="E162">
            <v>100</v>
          </cell>
          <cell r="F162">
            <v>0</v>
          </cell>
          <cell r="G162">
            <v>1200</v>
          </cell>
          <cell r="H162">
            <v>0</v>
          </cell>
          <cell r="I162">
            <v>1200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row>
        <row r="163">
          <cell r="A163" t="str">
            <v>531.43</v>
          </cell>
          <cell r="B163">
            <v>158</v>
          </cell>
          <cell r="C163" t="str">
            <v>686.55</v>
          </cell>
          <cell r="D163" t="str">
            <v>PSY</v>
          </cell>
          <cell r="E163">
            <v>500</v>
          </cell>
          <cell r="F163">
            <v>0</v>
          </cell>
          <cell r="G163">
            <v>400</v>
          </cell>
          <cell r="H163">
            <v>200</v>
          </cell>
          <cell r="I163">
            <v>500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row>
        <row r="164">
          <cell r="A164" t="str">
            <v>531.44</v>
          </cell>
          <cell r="B164">
            <v>159</v>
          </cell>
          <cell r="C164" t="str">
            <v>686.65</v>
          </cell>
          <cell r="D164" t="str">
            <v>ReWi</v>
          </cell>
          <cell r="E164">
            <v>500</v>
          </cell>
          <cell r="F164">
            <v>24</v>
          </cell>
          <cell r="G164">
            <v>500</v>
          </cell>
          <cell r="H164">
            <v>0</v>
          </cell>
          <cell r="I164">
            <v>500</v>
          </cell>
          <cell r="J164">
            <v>0</v>
          </cell>
          <cell r="K164">
            <v>0</v>
          </cell>
          <cell r="L164">
            <v>0</v>
          </cell>
          <cell r="M164">
            <v>0</v>
          </cell>
          <cell r="N164">
            <v>32</v>
          </cell>
          <cell r="O164">
            <v>32</v>
          </cell>
          <cell r="P164">
            <v>32</v>
          </cell>
          <cell r="Q164">
            <v>32</v>
          </cell>
          <cell r="R164">
            <v>32</v>
          </cell>
          <cell r="S164">
            <v>32</v>
          </cell>
          <cell r="T164">
            <v>0</v>
          </cell>
          <cell r="U164">
            <v>0</v>
          </cell>
          <cell r="V164">
            <v>0</v>
          </cell>
          <cell r="W164">
            <v>0</v>
          </cell>
        </row>
        <row r="165">
          <cell r="A165" t="str">
            <v>531.45</v>
          </cell>
          <cell r="B165">
            <v>160</v>
          </cell>
          <cell r="C165" t="str">
            <v>686.75</v>
          </cell>
          <cell r="D165" t="str">
            <v>M+I</v>
          </cell>
          <cell r="E165">
            <v>250</v>
          </cell>
          <cell r="F165">
            <v>0</v>
          </cell>
          <cell r="G165">
            <v>650</v>
          </cell>
          <cell r="H165">
            <v>0</v>
          </cell>
          <cell r="I165">
            <v>250</v>
          </cell>
          <cell r="J165">
            <v>0</v>
          </cell>
          <cell r="K165">
            <v>0</v>
          </cell>
          <cell r="L165">
            <v>0</v>
          </cell>
          <cell r="M165">
            <v>0</v>
          </cell>
          <cell r="N165">
            <v>0</v>
          </cell>
          <cell r="O165">
            <v>0</v>
          </cell>
          <cell r="P165">
            <v>0</v>
          </cell>
          <cell r="Q165">
            <v>0</v>
          </cell>
          <cell r="R165">
            <v>179.38</v>
          </cell>
          <cell r="S165">
            <v>179.38</v>
          </cell>
          <cell r="T165">
            <v>0</v>
          </cell>
          <cell r="U165">
            <v>0</v>
          </cell>
          <cell r="V165">
            <v>0</v>
          </cell>
          <cell r="W165">
            <v>0</v>
          </cell>
        </row>
        <row r="166">
          <cell r="A166" t="str">
            <v>531.50</v>
          </cell>
          <cell r="B166">
            <v>161</v>
          </cell>
          <cell r="C166" t="str">
            <v>686.25</v>
          </cell>
          <cell r="D166" t="str">
            <v>FSRK</v>
          </cell>
          <cell r="E166">
            <v>200</v>
          </cell>
          <cell r="F166">
            <v>8.98</v>
          </cell>
          <cell r="G166">
            <v>500</v>
          </cell>
          <cell r="H166">
            <v>0</v>
          </cell>
          <cell r="I166">
            <v>1500</v>
          </cell>
          <cell r="J166">
            <v>0</v>
          </cell>
          <cell r="K166">
            <v>0</v>
          </cell>
          <cell r="L166">
            <v>0</v>
          </cell>
          <cell r="M166">
            <v>159.62</v>
          </cell>
          <cell r="N166">
            <v>159.62</v>
          </cell>
          <cell r="O166">
            <v>159.62</v>
          </cell>
          <cell r="P166">
            <v>159.62</v>
          </cell>
          <cell r="Q166">
            <v>159.62</v>
          </cell>
          <cell r="R166">
            <v>159.62</v>
          </cell>
          <cell r="S166">
            <v>159.62</v>
          </cell>
          <cell r="T166">
            <v>0</v>
          </cell>
          <cell r="U166">
            <v>0</v>
          </cell>
          <cell r="V166">
            <v>0</v>
          </cell>
          <cell r="W166">
            <v>0</v>
          </cell>
        </row>
        <row r="167">
          <cell r="B167">
            <v>162</v>
          </cell>
          <cell r="H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8">
          <cell r="A168" t="str">
            <v>540.00</v>
          </cell>
          <cell r="B168">
            <v>163</v>
          </cell>
          <cell r="C168">
            <v>0</v>
          </cell>
          <cell r="D168" t="str">
            <v>Sprachrohr</v>
          </cell>
          <cell r="E168">
            <v>364000</v>
          </cell>
          <cell r="F168">
            <v>312651.59999999998</v>
          </cell>
          <cell r="G168">
            <v>214000</v>
          </cell>
          <cell r="H168">
            <v>560.08000000000004</v>
          </cell>
          <cell r="I168">
            <v>4000</v>
          </cell>
          <cell r="J168">
            <v>0</v>
          </cell>
          <cell r="K168">
            <v>0</v>
          </cell>
          <cell r="L168">
            <v>0</v>
          </cell>
          <cell r="M168">
            <v>252.1</v>
          </cell>
          <cell r="N168">
            <v>252.1</v>
          </cell>
          <cell r="O168">
            <v>566.98</v>
          </cell>
          <cell r="P168">
            <v>566.98</v>
          </cell>
          <cell r="Q168">
            <v>566.98</v>
          </cell>
          <cell r="R168">
            <v>785.78</v>
          </cell>
          <cell r="S168">
            <v>785.78</v>
          </cell>
          <cell r="T168">
            <v>0</v>
          </cell>
          <cell r="U168">
            <v>0</v>
          </cell>
          <cell r="V168">
            <v>0</v>
          </cell>
          <cell r="W168">
            <v>0</v>
          </cell>
        </row>
        <row r="169">
          <cell r="A169" t="str">
            <v>540.10</v>
          </cell>
          <cell r="B169">
            <v>164</v>
          </cell>
          <cell r="C169" t="str">
            <v>531.10</v>
          </cell>
          <cell r="D169" t="str">
            <v>Druckkosten Sprachrohr</v>
          </cell>
          <cell r="E169">
            <v>155000</v>
          </cell>
          <cell r="F169">
            <v>126134.02</v>
          </cell>
          <cell r="G169">
            <v>85000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row>
        <row r="170">
          <cell r="A170" t="str">
            <v>540.20</v>
          </cell>
          <cell r="B170">
            <v>165</v>
          </cell>
          <cell r="C170" t="str">
            <v>531.20</v>
          </cell>
          <cell r="D170" t="str">
            <v>Versandkosten Sprachrohr</v>
          </cell>
          <cell r="E170">
            <v>205000</v>
          </cell>
          <cell r="F170">
            <v>185309.52</v>
          </cell>
          <cell r="G170">
            <v>125000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t="str">
            <v>540.30</v>
          </cell>
          <cell r="B171">
            <v>166</v>
          </cell>
          <cell r="C171" t="str">
            <v>531.30</v>
          </cell>
          <cell r="D171" t="str">
            <v>Satz und Lektorat</v>
          </cell>
          <cell r="E171">
            <v>2000</v>
          </cell>
          <cell r="F171">
            <v>1208.06</v>
          </cell>
          <cell r="G171">
            <v>2000</v>
          </cell>
          <cell r="H171">
            <v>560.08000000000004</v>
          </cell>
          <cell r="I171">
            <v>1000</v>
          </cell>
          <cell r="J171">
            <v>0</v>
          </cell>
          <cell r="K171">
            <v>0</v>
          </cell>
          <cell r="L171">
            <v>0</v>
          </cell>
          <cell r="M171">
            <v>252.1</v>
          </cell>
          <cell r="N171">
            <v>252.1</v>
          </cell>
          <cell r="O171">
            <v>566.98</v>
          </cell>
          <cell r="P171">
            <v>566.98</v>
          </cell>
          <cell r="Q171">
            <v>566.98</v>
          </cell>
          <cell r="R171">
            <v>785.78</v>
          </cell>
          <cell r="S171">
            <v>785.78</v>
          </cell>
          <cell r="T171">
            <v>0</v>
          </cell>
          <cell r="U171">
            <v>0</v>
          </cell>
          <cell r="V171">
            <v>0</v>
          </cell>
          <cell r="W171">
            <v>0</v>
          </cell>
        </row>
        <row r="172">
          <cell r="A172" t="str">
            <v>540.60</v>
          </cell>
          <cell r="B172">
            <v>167</v>
          </cell>
          <cell r="C172" t="str">
            <v>531.40</v>
          </cell>
          <cell r="D172" t="str">
            <v>Sonstige Kosten</v>
          </cell>
          <cell r="E172">
            <v>2000</v>
          </cell>
          <cell r="F172">
            <v>0</v>
          </cell>
          <cell r="G172">
            <v>2000</v>
          </cell>
          <cell r="H172">
            <v>0</v>
          </cell>
          <cell r="I172">
            <v>3000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B173">
            <v>168</v>
          </cell>
          <cell r="H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row>
        <row r="174">
          <cell r="A174" t="str">
            <v>550.00</v>
          </cell>
          <cell r="B174">
            <v>169</v>
          </cell>
          <cell r="C174">
            <v>0</v>
          </cell>
          <cell r="D174" t="str">
            <v>Veranstaltungen, Maßnahmen und Seminare AStA-Referate</v>
          </cell>
          <cell r="E174">
            <v>49100</v>
          </cell>
          <cell r="F174">
            <v>5988.9299999999994</v>
          </cell>
          <cell r="G174">
            <v>52910</v>
          </cell>
          <cell r="H174">
            <v>9955.7900000000009</v>
          </cell>
          <cell r="I174">
            <v>118814</v>
          </cell>
          <cell r="J174">
            <v>1105</v>
          </cell>
          <cell r="K174">
            <v>2155.1999999999998</v>
          </cell>
          <cell r="L174">
            <v>2226.1999999999998</v>
          </cell>
          <cell r="M174">
            <v>2265.1999999999998</v>
          </cell>
          <cell r="N174">
            <v>3533.2900000000004</v>
          </cell>
          <cell r="O174">
            <v>8193.33</v>
          </cell>
          <cell r="P174">
            <v>8304.33</v>
          </cell>
          <cell r="Q174">
            <v>8343.33</v>
          </cell>
          <cell r="R174">
            <v>8754.08</v>
          </cell>
          <cell r="S174">
            <v>8849.08</v>
          </cell>
          <cell r="T174">
            <v>0</v>
          </cell>
          <cell r="U174">
            <v>0</v>
          </cell>
          <cell r="V174">
            <v>0</v>
          </cell>
          <cell r="W174">
            <v>0</v>
          </cell>
        </row>
        <row r="175">
          <cell r="A175" t="str">
            <v>550.10</v>
          </cell>
          <cell r="B175">
            <v>170</v>
          </cell>
          <cell r="C175" t="str">
            <v>536.12, 538.12, 550.12 (je x0,1)</v>
          </cell>
          <cell r="D175" t="str">
            <v>Honorare Dozierende Fachseminare</v>
          </cell>
          <cell r="E175">
            <v>1150</v>
          </cell>
          <cell r="F175">
            <v>0</v>
          </cell>
          <cell r="G175">
            <v>9180</v>
          </cell>
          <cell r="H175">
            <v>129.25</v>
          </cell>
          <cell r="I175">
            <v>19390</v>
          </cell>
          <cell r="J175">
            <v>60</v>
          </cell>
          <cell r="K175">
            <v>60</v>
          </cell>
          <cell r="L175">
            <v>60</v>
          </cell>
          <cell r="M175">
            <v>60</v>
          </cell>
          <cell r="N175">
            <v>115</v>
          </cell>
          <cell r="O175">
            <v>549.88100000000009</v>
          </cell>
          <cell r="P175">
            <v>549.88100000000009</v>
          </cell>
          <cell r="Q175">
            <v>549.88100000000009</v>
          </cell>
          <cell r="R175">
            <v>549.88100000000009</v>
          </cell>
          <cell r="S175">
            <v>549.88100000000009</v>
          </cell>
          <cell r="T175">
            <v>0</v>
          </cell>
          <cell r="U175">
            <v>0</v>
          </cell>
          <cell r="V175">
            <v>0</v>
          </cell>
          <cell r="W175">
            <v>0</v>
          </cell>
        </row>
        <row r="176">
          <cell r="A176" t="str">
            <v>550.20</v>
          </cell>
          <cell r="B176">
            <v>171</v>
          </cell>
          <cell r="C176" t="str">
            <v>536.12, 538.12, 550.12 (je x0,7)</v>
          </cell>
          <cell r="D176" t="str">
            <v>Andere Honorare</v>
          </cell>
          <cell r="E176">
            <v>8050</v>
          </cell>
          <cell r="F176">
            <v>4792.2</v>
          </cell>
          <cell r="G176">
            <v>10200</v>
          </cell>
          <cell r="H176">
            <v>904.75</v>
          </cell>
          <cell r="I176">
            <v>13770</v>
          </cell>
          <cell r="J176">
            <v>420</v>
          </cell>
          <cell r="K176">
            <v>420</v>
          </cell>
          <cell r="L176">
            <v>420</v>
          </cell>
          <cell r="M176">
            <v>420</v>
          </cell>
          <cell r="N176">
            <v>805</v>
          </cell>
          <cell r="O176">
            <v>3849.1669999999999</v>
          </cell>
          <cell r="P176">
            <v>3849.1669999999999</v>
          </cell>
          <cell r="Q176">
            <v>3849.1669999999999</v>
          </cell>
          <cell r="R176">
            <v>3849.1669999999999</v>
          </cell>
          <cell r="S176">
            <v>3849.1669999999999</v>
          </cell>
          <cell r="T176">
            <v>0</v>
          </cell>
          <cell r="U176">
            <v>0</v>
          </cell>
          <cell r="V176">
            <v>0</v>
          </cell>
          <cell r="W176">
            <v>0</v>
          </cell>
        </row>
        <row r="177">
          <cell r="A177" t="str">
            <v>550.30</v>
          </cell>
          <cell r="B177">
            <v>172</v>
          </cell>
          <cell r="C177" t="str">
            <v>536.12, 538.12, 550.12 (je x0,2)</v>
          </cell>
          <cell r="D177" t="str">
            <v>Externe Reisekosten</v>
          </cell>
          <cell r="E177">
            <v>2300</v>
          </cell>
          <cell r="F177">
            <v>0</v>
          </cell>
          <cell r="G177">
            <v>3850</v>
          </cell>
          <cell r="H177">
            <v>258.5</v>
          </cell>
          <cell r="I177">
            <v>2900</v>
          </cell>
          <cell r="J177">
            <v>120</v>
          </cell>
          <cell r="K177">
            <v>120</v>
          </cell>
          <cell r="L177">
            <v>120</v>
          </cell>
          <cell r="M177">
            <v>120</v>
          </cell>
          <cell r="N177">
            <v>230</v>
          </cell>
          <cell r="O177">
            <v>1099.7620000000002</v>
          </cell>
          <cell r="P177">
            <v>1099.7620000000002</v>
          </cell>
          <cell r="Q177">
            <v>1099.7620000000002</v>
          </cell>
          <cell r="R177">
            <v>1099.7620000000002</v>
          </cell>
          <cell r="S177">
            <v>1099.7620000000002</v>
          </cell>
          <cell r="T177">
            <v>0</v>
          </cell>
          <cell r="U177">
            <v>0</v>
          </cell>
          <cell r="V177">
            <v>0</v>
          </cell>
          <cell r="W177">
            <v>0</v>
          </cell>
        </row>
        <row r="178">
          <cell r="A178" t="str">
            <v>550.40</v>
          </cell>
          <cell r="B178">
            <v>173</v>
          </cell>
          <cell r="C178" t="str">
            <v>532.10, 532.20, 532.30, 533.30, 536.15, 538.15, 550.14, 539.00</v>
          </cell>
          <cell r="D178" t="str">
            <v>Bewirtung und Repräsentation</v>
          </cell>
          <cell r="E178">
            <v>13500</v>
          </cell>
          <cell r="F178">
            <v>541</v>
          </cell>
          <cell r="G178">
            <v>10100</v>
          </cell>
          <cell r="H178">
            <v>2250.41</v>
          </cell>
          <cell r="I178">
            <v>2548</v>
          </cell>
          <cell r="J178">
            <v>466</v>
          </cell>
          <cell r="K178">
            <v>764</v>
          </cell>
          <cell r="L178">
            <v>796</v>
          </cell>
          <cell r="M178">
            <v>796</v>
          </cell>
          <cell r="N178">
            <v>1031.93</v>
          </cell>
          <cell r="O178">
            <v>775.03</v>
          </cell>
          <cell r="P178">
            <v>775.03</v>
          </cell>
          <cell r="Q178">
            <v>775.03</v>
          </cell>
          <cell r="R178">
            <v>775.03</v>
          </cell>
          <cell r="S178">
            <v>775.03</v>
          </cell>
          <cell r="T178">
            <v>0</v>
          </cell>
          <cell r="U178">
            <v>0</v>
          </cell>
          <cell r="V178">
            <v>0</v>
          </cell>
          <cell r="W178">
            <v>0</v>
          </cell>
        </row>
        <row r="179">
          <cell r="A179" t="str">
            <v>550.50</v>
          </cell>
          <cell r="B179">
            <v>174</v>
          </cell>
          <cell r="C179" t="str">
            <v>533.10, 536.13, 536.14, 538.13, 538.14, 550.15</v>
          </cell>
          <cell r="D179" t="str">
            <v>Raum und Unterkunftskosten</v>
          </cell>
          <cell r="E179">
            <v>22000</v>
          </cell>
          <cell r="F179">
            <v>468</v>
          </cell>
          <cell r="G179">
            <v>4730</v>
          </cell>
          <cell r="H179">
            <v>6246.4</v>
          </cell>
          <cell r="I179">
            <v>22791</v>
          </cell>
          <cell r="J179">
            <v>39</v>
          </cell>
          <cell r="K179">
            <v>791.2</v>
          </cell>
          <cell r="L179">
            <v>830.2</v>
          </cell>
          <cell r="M179">
            <v>869.2</v>
          </cell>
          <cell r="N179">
            <v>1351.3600000000001</v>
          </cell>
          <cell r="O179">
            <v>1919.49</v>
          </cell>
          <cell r="P179">
            <v>1958.49</v>
          </cell>
          <cell r="Q179">
            <v>1997.49</v>
          </cell>
          <cell r="R179">
            <v>2036.49</v>
          </cell>
          <cell r="S179">
            <v>2036.49</v>
          </cell>
          <cell r="T179">
            <v>0</v>
          </cell>
          <cell r="U179">
            <v>0</v>
          </cell>
          <cell r="V179">
            <v>0</v>
          </cell>
          <cell r="W179">
            <v>0</v>
          </cell>
        </row>
        <row r="180">
          <cell r="A180" t="str">
            <v>550.60</v>
          </cell>
          <cell r="B180">
            <v>175</v>
          </cell>
          <cell r="C180">
            <v>0</v>
          </cell>
          <cell r="D180" t="str">
            <v>Druckkosten</v>
          </cell>
          <cell r="E180">
            <v>0</v>
          </cell>
          <cell r="F180">
            <v>0</v>
          </cell>
          <cell r="G180">
            <v>3150</v>
          </cell>
          <cell r="H180">
            <v>0</v>
          </cell>
          <cell r="I180">
            <v>9025</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row>
        <row r="181">
          <cell r="A181" t="str">
            <v>550.70</v>
          </cell>
          <cell r="B181">
            <v>176</v>
          </cell>
          <cell r="C181" t="str">
            <v>533.40, 550.16, 546.00</v>
          </cell>
          <cell r="D181" t="str">
            <v>Sonstige Kosten</v>
          </cell>
          <cell r="E181">
            <v>2100</v>
          </cell>
          <cell r="F181">
            <v>187.73</v>
          </cell>
          <cell r="G181">
            <v>11700</v>
          </cell>
          <cell r="H181">
            <v>166.48</v>
          </cell>
          <cell r="I181">
            <v>48390</v>
          </cell>
          <cell r="J181">
            <v>0</v>
          </cell>
          <cell r="K181">
            <v>0</v>
          </cell>
          <cell r="L181">
            <v>0</v>
          </cell>
          <cell r="M181">
            <v>0</v>
          </cell>
          <cell r="N181">
            <v>0</v>
          </cell>
          <cell r="O181">
            <v>0</v>
          </cell>
          <cell r="P181">
            <v>72</v>
          </cell>
          <cell r="Q181">
            <v>72</v>
          </cell>
          <cell r="R181">
            <v>443.75</v>
          </cell>
          <cell r="S181">
            <v>538.75</v>
          </cell>
          <cell r="T181">
            <v>0</v>
          </cell>
          <cell r="U181">
            <v>0</v>
          </cell>
          <cell r="V181">
            <v>0</v>
          </cell>
          <cell r="W181">
            <v>0</v>
          </cell>
        </row>
        <row r="182">
          <cell r="B182">
            <v>177</v>
          </cell>
          <cell r="H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row>
        <row r="183">
          <cell r="A183" t="str">
            <v>551.00</v>
          </cell>
          <cell r="B183">
            <v>178</v>
          </cell>
          <cell r="C183">
            <v>0</v>
          </cell>
          <cell r="D183" t="str">
            <v>Veranstaltungen, Maßnahmen und Seminare Fachschaften</v>
          </cell>
          <cell r="E183">
            <v>152900</v>
          </cell>
          <cell r="F183">
            <v>118054.28</v>
          </cell>
          <cell r="G183">
            <v>162715</v>
          </cell>
          <cell r="H183">
            <v>68750.69</v>
          </cell>
          <cell r="I183">
            <v>137090</v>
          </cell>
          <cell r="J183">
            <v>1958</v>
          </cell>
          <cell r="K183">
            <v>3198.7799999999997</v>
          </cell>
          <cell r="L183">
            <v>3986.58</v>
          </cell>
          <cell r="M183">
            <v>5082.3300000000008</v>
          </cell>
          <cell r="N183">
            <v>13850.11</v>
          </cell>
          <cell r="O183">
            <v>28184.17</v>
          </cell>
          <cell r="P183">
            <v>30859.67</v>
          </cell>
          <cell r="Q183">
            <v>37697.68</v>
          </cell>
          <cell r="R183">
            <v>42280.68</v>
          </cell>
          <cell r="S183">
            <v>42280.68</v>
          </cell>
          <cell r="T183">
            <v>0</v>
          </cell>
          <cell r="U183">
            <v>0</v>
          </cell>
          <cell r="V183">
            <v>0</v>
          </cell>
          <cell r="W183">
            <v>0</v>
          </cell>
        </row>
        <row r="184">
          <cell r="A184" t="str">
            <v>551.10</v>
          </cell>
          <cell r="B184">
            <v>179</v>
          </cell>
          <cell r="C184">
            <v>0</v>
          </cell>
          <cell r="D184" t="str">
            <v>Honorare Dozierende Fachseminare</v>
          </cell>
          <cell r="E184">
            <v>96200</v>
          </cell>
          <cell r="F184">
            <v>112777.58</v>
          </cell>
          <cell r="G184">
            <v>121565</v>
          </cell>
          <cell r="H184">
            <v>44481.83</v>
          </cell>
          <cell r="I184">
            <v>108510</v>
          </cell>
          <cell r="J184">
            <v>1232</v>
          </cell>
          <cell r="K184">
            <v>1925</v>
          </cell>
          <cell r="L184">
            <v>2387</v>
          </cell>
          <cell r="M184">
            <v>2946.125</v>
          </cell>
          <cell r="N184">
            <v>8868.125</v>
          </cell>
          <cell r="O184">
            <v>18298</v>
          </cell>
          <cell r="P184">
            <v>20032.25</v>
          </cell>
          <cell r="Q184">
            <v>24671.5</v>
          </cell>
          <cell r="R184">
            <v>26866</v>
          </cell>
          <cell r="S184">
            <v>26866</v>
          </cell>
          <cell r="T184">
            <v>0</v>
          </cell>
          <cell r="U184">
            <v>0</v>
          </cell>
          <cell r="V184">
            <v>0</v>
          </cell>
          <cell r="W184">
            <v>0</v>
          </cell>
        </row>
        <row r="185">
          <cell r="A185" t="str">
            <v>551.11</v>
          </cell>
          <cell r="B185">
            <v>180</v>
          </cell>
          <cell r="C185" t="str">
            <v>686.33 (x0,7)</v>
          </cell>
          <cell r="D185" t="str">
            <v>WiWi</v>
          </cell>
          <cell r="E185">
            <v>31500</v>
          </cell>
          <cell r="F185">
            <v>41821.25</v>
          </cell>
          <cell r="G185">
            <v>45600</v>
          </cell>
          <cell r="H185">
            <v>22789.38</v>
          </cell>
          <cell r="I185">
            <v>40000</v>
          </cell>
          <cell r="J185">
            <v>0</v>
          </cell>
          <cell r="K185">
            <v>0</v>
          </cell>
          <cell r="L185">
            <v>0</v>
          </cell>
          <cell r="M185">
            <v>559.125</v>
          </cell>
          <cell r="N185">
            <v>5008.5</v>
          </cell>
          <cell r="O185">
            <v>11647.125</v>
          </cell>
          <cell r="P185">
            <v>12765.375</v>
          </cell>
          <cell r="Q185">
            <v>12765.375</v>
          </cell>
          <cell r="R185">
            <v>12765.375</v>
          </cell>
          <cell r="S185">
            <v>12765.375</v>
          </cell>
          <cell r="T185">
            <v>0</v>
          </cell>
          <cell r="U185">
            <v>0</v>
          </cell>
          <cell r="V185">
            <v>0</v>
          </cell>
          <cell r="W185">
            <v>0</v>
          </cell>
        </row>
        <row r="186">
          <cell r="A186" t="str">
            <v>551.12</v>
          </cell>
          <cell r="B186">
            <v>181</v>
          </cell>
          <cell r="C186" t="str">
            <v>686.43 (x0,7)</v>
          </cell>
          <cell r="D186" t="str">
            <v>KSW</v>
          </cell>
          <cell r="E186">
            <v>2100</v>
          </cell>
          <cell r="F186">
            <v>4544.7</v>
          </cell>
          <cell r="G186">
            <v>8510</v>
          </cell>
          <cell r="H186">
            <v>2037</v>
          </cell>
          <cell r="I186">
            <v>8510</v>
          </cell>
          <cell r="J186">
            <v>0</v>
          </cell>
          <cell r="K186">
            <v>693</v>
          </cell>
          <cell r="L186">
            <v>693</v>
          </cell>
          <cell r="M186">
            <v>693</v>
          </cell>
          <cell r="N186">
            <v>693</v>
          </cell>
          <cell r="O186">
            <v>693</v>
          </cell>
          <cell r="P186">
            <v>693</v>
          </cell>
          <cell r="Q186">
            <v>1386</v>
          </cell>
          <cell r="R186">
            <v>1847.9999999999998</v>
          </cell>
          <cell r="S186">
            <v>1847.9999999999998</v>
          </cell>
          <cell r="T186">
            <v>0</v>
          </cell>
          <cell r="U186">
            <v>0</v>
          </cell>
          <cell r="V186">
            <v>0</v>
          </cell>
          <cell r="W186">
            <v>0</v>
          </cell>
        </row>
        <row r="187">
          <cell r="A187" t="str">
            <v>551.13</v>
          </cell>
          <cell r="B187">
            <v>182</v>
          </cell>
          <cell r="C187" t="str">
            <v>686.53 (x0,7)</v>
          </cell>
          <cell r="D187" t="str">
            <v>PSY</v>
          </cell>
          <cell r="E187">
            <v>22000</v>
          </cell>
          <cell r="F187">
            <v>22905</v>
          </cell>
          <cell r="G187">
            <v>24540</v>
          </cell>
          <cell r="H187">
            <v>73.5</v>
          </cell>
          <cell r="I187">
            <v>23000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row>
        <row r="188">
          <cell r="A188" t="str">
            <v>551.14</v>
          </cell>
          <cell r="B188">
            <v>183</v>
          </cell>
          <cell r="C188" t="str">
            <v>686.63 (x0,7)</v>
          </cell>
          <cell r="D188" t="str">
            <v>ReWi</v>
          </cell>
          <cell r="E188">
            <v>29400</v>
          </cell>
          <cell r="F188">
            <v>25892.880000000001</v>
          </cell>
          <cell r="G188">
            <v>25715</v>
          </cell>
          <cell r="H188">
            <v>14884.95</v>
          </cell>
          <cell r="I188">
            <v>22000</v>
          </cell>
          <cell r="J188">
            <v>616</v>
          </cell>
          <cell r="K188">
            <v>616</v>
          </cell>
          <cell r="L188">
            <v>616</v>
          </cell>
          <cell r="M188">
            <v>616</v>
          </cell>
          <cell r="N188">
            <v>1703.625</v>
          </cell>
          <cell r="O188">
            <v>3878.8749999999995</v>
          </cell>
          <cell r="P188">
            <v>3878.8749999999995</v>
          </cell>
          <cell r="Q188">
            <v>6901.125</v>
          </cell>
          <cell r="R188">
            <v>7863.6249999999991</v>
          </cell>
          <cell r="S188">
            <v>7863.6249999999991</v>
          </cell>
          <cell r="T188">
            <v>0</v>
          </cell>
          <cell r="U188">
            <v>0</v>
          </cell>
          <cell r="V188">
            <v>0</v>
          </cell>
          <cell r="W188">
            <v>0</v>
          </cell>
        </row>
        <row r="189">
          <cell r="A189" t="str">
            <v>551.15</v>
          </cell>
          <cell r="B189">
            <v>184</v>
          </cell>
          <cell r="C189" t="str">
            <v>686.73 (x0,7)</v>
          </cell>
          <cell r="D189" t="str">
            <v>M+I</v>
          </cell>
          <cell r="E189">
            <v>11200</v>
          </cell>
          <cell r="F189">
            <v>17613.75</v>
          </cell>
          <cell r="G189">
            <v>17200</v>
          </cell>
          <cell r="H189">
            <v>4697</v>
          </cell>
          <cell r="I189">
            <v>15000</v>
          </cell>
          <cell r="J189">
            <v>616</v>
          </cell>
          <cell r="K189">
            <v>616</v>
          </cell>
          <cell r="L189">
            <v>1078</v>
          </cell>
          <cell r="M189">
            <v>1078</v>
          </cell>
          <cell r="N189">
            <v>1463</v>
          </cell>
          <cell r="O189">
            <v>2079</v>
          </cell>
          <cell r="P189">
            <v>2695</v>
          </cell>
          <cell r="Q189">
            <v>3618.9999999999995</v>
          </cell>
          <cell r="R189">
            <v>4389</v>
          </cell>
          <cell r="S189">
            <v>4389</v>
          </cell>
          <cell r="T189">
            <v>0</v>
          </cell>
          <cell r="U189">
            <v>0</v>
          </cell>
          <cell r="V189">
            <v>0</v>
          </cell>
          <cell r="W189">
            <v>0</v>
          </cell>
        </row>
        <row r="190">
          <cell r="A190" t="str">
            <v>551.20</v>
          </cell>
          <cell r="B190">
            <v>185</v>
          </cell>
          <cell r="C190">
            <v>0</v>
          </cell>
          <cell r="D190" t="str">
            <v>Andere Honorare</v>
          </cell>
          <cell r="E190">
            <v>15450</v>
          </cell>
          <cell r="F190">
            <v>0</v>
          </cell>
          <cell r="G190">
            <v>10140</v>
          </cell>
          <cell r="H190">
            <v>9531.82</v>
          </cell>
          <cell r="I190">
            <v>5640</v>
          </cell>
          <cell r="J190">
            <v>264</v>
          </cell>
          <cell r="K190">
            <v>412.5</v>
          </cell>
          <cell r="L190">
            <v>511.5</v>
          </cell>
          <cell r="M190">
            <v>631.3125</v>
          </cell>
          <cell r="N190">
            <v>1900.3125</v>
          </cell>
          <cell r="O190">
            <v>3921</v>
          </cell>
          <cell r="P190">
            <v>4292.625</v>
          </cell>
          <cell r="Q190">
            <v>5286.75</v>
          </cell>
          <cell r="R190">
            <v>5757</v>
          </cell>
          <cell r="S190">
            <v>5757</v>
          </cell>
          <cell r="T190">
            <v>0</v>
          </cell>
          <cell r="U190">
            <v>0</v>
          </cell>
          <cell r="V190">
            <v>0</v>
          </cell>
          <cell r="W190">
            <v>0</v>
          </cell>
        </row>
        <row r="191">
          <cell r="A191" t="str">
            <v>551.21</v>
          </cell>
          <cell r="B191">
            <v>186</v>
          </cell>
          <cell r="C191" t="str">
            <v>686.33 (x0,15)</v>
          </cell>
          <cell r="D191" t="str">
            <v>WiWi</v>
          </cell>
          <cell r="E191">
            <v>6750</v>
          </cell>
          <cell r="F191">
            <v>0</v>
          </cell>
          <cell r="G191">
            <v>2000</v>
          </cell>
          <cell r="H191">
            <v>4883.4399999999996</v>
          </cell>
          <cell r="I191">
            <v>1000</v>
          </cell>
          <cell r="J191">
            <v>0</v>
          </cell>
          <cell r="K191">
            <v>0</v>
          </cell>
          <cell r="L191">
            <v>0</v>
          </cell>
          <cell r="M191">
            <v>119.8125</v>
          </cell>
          <cell r="N191">
            <v>1073.25</v>
          </cell>
          <cell r="O191">
            <v>2495.8125</v>
          </cell>
          <cell r="P191">
            <v>2735.4375</v>
          </cell>
          <cell r="Q191">
            <v>2735.4375</v>
          </cell>
          <cell r="R191">
            <v>2735.4375</v>
          </cell>
          <cell r="S191">
            <v>2735.4375</v>
          </cell>
          <cell r="T191">
            <v>0</v>
          </cell>
          <cell r="U191">
            <v>0</v>
          </cell>
          <cell r="V191">
            <v>0</v>
          </cell>
          <cell r="W191">
            <v>0</v>
          </cell>
        </row>
        <row r="192">
          <cell r="A192" t="str">
            <v>551.22</v>
          </cell>
          <cell r="B192">
            <v>187</v>
          </cell>
          <cell r="C192" t="str">
            <v>686.43 (x0,15)</v>
          </cell>
          <cell r="D192" t="str">
            <v>KSW</v>
          </cell>
          <cell r="E192">
            <v>600</v>
          </cell>
          <cell r="F192">
            <v>0</v>
          </cell>
          <cell r="G192">
            <v>2640</v>
          </cell>
          <cell r="H192">
            <v>436.5</v>
          </cell>
          <cell r="I192">
            <v>2640</v>
          </cell>
          <cell r="J192">
            <v>0</v>
          </cell>
          <cell r="K192">
            <v>148.5</v>
          </cell>
          <cell r="L192">
            <v>148.5</v>
          </cell>
          <cell r="M192">
            <v>148.5</v>
          </cell>
          <cell r="N192">
            <v>148.5</v>
          </cell>
          <cell r="O192">
            <v>148.5</v>
          </cell>
          <cell r="P192">
            <v>148.5</v>
          </cell>
          <cell r="Q192">
            <v>297</v>
          </cell>
          <cell r="R192">
            <v>396</v>
          </cell>
          <cell r="S192">
            <v>396</v>
          </cell>
          <cell r="T192">
            <v>0</v>
          </cell>
          <cell r="U192">
            <v>0</v>
          </cell>
          <cell r="V192">
            <v>0</v>
          </cell>
          <cell r="W192">
            <v>0</v>
          </cell>
        </row>
        <row r="193">
          <cell r="A193" t="str">
            <v>551.23</v>
          </cell>
          <cell r="B193">
            <v>188</v>
          </cell>
          <cell r="C193" t="str">
            <v>686.53 (x0,15)</v>
          </cell>
          <cell r="D193" t="str">
            <v>PSY</v>
          </cell>
          <cell r="E193">
            <v>0</v>
          </cell>
          <cell r="F193">
            <v>0</v>
          </cell>
          <cell r="G193">
            <v>2000</v>
          </cell>
          <cell r="H193">
            <v>15.75</v>
          </cell>
          <cell r="I193">
            <v>2000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row>
        <row r="194">
          <cell r="A194" t="str">
            <v>551.24</v>
          </cell>
          <cell r="B194">
            <v>189</v>
          </cell>
          <cell r="C194" t="str">
            <v>686.63 (x0,15)</v>
          </cell>
          <cell r="D194" t="str">
            <v>ReWi</v>
          </cell>
          <cell r="E194">
            <v>6300</v>
          </cell>
          <cell r="F194">
            <v>0</v>
          </cell>
          <cell r="G194">
            <v>2500</v>
          </cell>
          <cell r="H194">
            <v>3189.63</v>
          </cell>
          <cell r="I194">
            <v>0</v>
          </cell>
          <cell r="J194">
            <v>132</v>
          </cell>
          <cell r="K194">
            <v>132</v>
          </cell>
          <cell r="L194">
            <v>132</v>
          </cell>
          <cell r="M194">
            <v>132</v>
          </cell>
          <cell r="N194">
            <v>365.0625</v>
          </cell>
          <cell r="O194">
            <v>831.1875</v>
          </cell>
          <cell r="P194">
            <v>831.1875</v>
          </cell>
          <cell r="Q194">
            <v>1478.8125</v>
          </cell>
          <cell r="R194">
            <v>1685.0625</v>
          </cell>
          <cell r="S194">
            <v>1685.0625</v>
          </cell>
          <cell r="T194">
            <v>0</v>
          </cell>
          <cell r="U194">
            <v>0</v>
          </cell>
          <cell r="V194">
            <v>0</v>
          </cell>
          <cell r="W194">
            <v>0</v>
          </cell>
        </row>
        <row r="195">
          <cell r="A195" t="str">
            <v>551.25</v>
          </cell>
          <cell r="B195">
            <v>190</v>
          </cell>
          <cell r="C195" t="str">
            <v>686.73 (x0,15)</v>
          </cell>
          <cell r="D195" t="str">
            <v>M+I</v>
          </cell>
          <cell r="E195">
            <v>1800</v>
          </cell>
          <cell r="F195">
            <v>0</v>
          </cell>
          <cell r="G195">
            <v>1000</v>
          </cell>
          <cell r="H195">
            <v>1006.5</v>
          </cell>
          <cell r="I195">
            <v>0</v>
          </cell>
          <cell r="J195">
            <v>132</v>
          </cell>
          <cell r="K195">
            <v>132</v>
          </cell>
          <cell r="L195">
            <v>231</v>
          </cell>
          <cell r="M195">
            <v>231</v>
          </cell>
          <cell r="N195">
            <v>313.5</v>
          </cell>
          <cell r="O195">
            <v>445.5</v>
          </cell>
          <cell r="P195">
            <v>577.5</v>
          </cell>
          <cell r="Q195">
            <v>775.5</v>
          </cell>
          <cell r="R195">
            <v>940.5</v>
          </cell>
          <cell r="S195">
            <v>940.5</v>
          </cell>
          <cell r="T195">
            <v>0</v>
          </cell>
          <cell r="U195">
            <v>0</v>
          </cell>
          <cell r="V195">
            <v>0</v>
          </cell>
          <cell r="W195">
            <v>0</v>
          </cell>
        </row>
        <row r="196">
          <cell r="A196" t="str">
            <v>551.30</v>
          </cell>
          <cell r="B196">
            <v>191</v>
          </cell>
          <cell r="C196">
            <v>0</v>
          </cell>
          <cell r="D196" t="str">
            <v>Externe Reisekosten</v>
          </cell>
          <cell r="E196">
            <v>16350</v>
          </cell>
          <cell r="F196">
            <v>0</v>
          </cell>
          <cell r="G196">
            <v>2000</v>
          </cell>
          <cell r="H196">
            <v>9531.82</v>
          </cell>
          <cell r="I196">
            <v>1100</v>
          </cell>
          <cell r="J196">
            <v>264</v>
          </cell>
          <cell r="K196">
            <v>412.5</v>
          </cell>
          <cell r="L196">
            <v>511.5</v>
          </cell>
          <cell r="M196">
            <v>631.3125</v>
          </cell>
          <cell r="N196">
            <v>1900.3125</v>
          </cell>
          <cell r="O196">
            <v>3921</v>
          </cell>
          <cell r="P196">
            <v>4292.625</v>
          </cell>
          <cell r="Q196">
            <v>5286.75</v>
          </cell>
          <cell r="R196">
            <v>5757</v>
          </cell>
          <cell r="S196">
            <v>5757</v>
          </cell>
          <cell r="T196">
            <v>0</v>
          </cell>
          <cell r="U196">
            <v>0</v>
          </cell>
          <cell r="V196">
            <v>0</v>
          </cell>
          <cell r="W196">
            <v>0</v>
          </cell>
        </row>
        <row r="197">
          <cell r="A197" t="str">
            <v>551.31</v>
          </cell>
          <cell r="B197">
            <v>192</v>
          </cell>
          <cell r="C197" t="str">
            <v>686.33 (x0,15)</v>
          </cell>
          <cell r="D197" t="str">
            <v>WiWi</v>
          </cell>
          <cell r="E197">
            <v>6750</v>
          </cell>
          <cell r="F197">
            <v>0</v>
          </cell>
          <cell r="G197">
            <v>1100</v>
          </cell>
          <cell r="H197">
            <v>4883.4399999999996</v>
          </cell>
          <cell r="I197">
            <v>500</v>
          </cell>
          <cell r="J197">
            <v>0</v>
          </cell>
          <cell r="K197">
            <v>0</v>
          </cell>
          <cell r="L197">
            <v>0</v>
          </cell>
          <cell r="M197">
            <v>119.8125</v>
          </cell>
          <cell r="N197">
            <v>1073.25</v>
          </cell>
          <cell r="O197">
            <v>2495.8125</v>
          </cell>
          <cell r="P197">
            <v>2735.4375</v>
          </cell>
          <cell r="Q197">
            <v>2735.4375</v>
          </cell>
          <cell r="R197">
            <v>2735.4375</v>
          </cell>
          <cell r="S197">
            <v>2735.4375</v>
          </cell>
          <cell r="T197">
            <v>0</v>
          </cell>
          <cell r="U197">
            <v>0</v>
          </cell>
          <cell r="V197">
            <v>0</v>
          </cell>
          <cell r="W197">
            <v>0</v>
          </cell>
        </row>
        <row r="198">
          <cell r="A198" t="str">
            <v>551.32</v>
          </cell>
          <cell r="B198">
            <v>193</v>
          </cell>
          <cell r="C198" t="str">
            <v>686.43 (x0,15)</v>
          </cell>
          <cell r="D198" t="str">
            <v>KSW</v>
          </cell>
          <cell r="E198">
            <v>300</v>
          </cell>
          <cell r="F198">
            <v>0</v>
          </cell>
          <cell r="G198">
            <v>100</v>
          </cell>
          <cell r="H198">
            <v>436.5</v>
          </cell>
          <cell r="I198">
            <v>100</v>
          </cell>
          <cell r="J198">
            <v>0</v>
          </cell>
          <cell r="K198">
            <v>148.5</v>
          </cell>
          <cell r="L198">
            <v>148.5</v>
          </cell>
          <cell r="M198">
            <v>148.5</v>
          </cell>
          <cell r="N198">
            <v>148.5</v>
          </cell>
          <cell r="O198">
            <v>148.5</v>
          </cell>
          <cell r="P198">
            <v>148.5</v>
          </cell>
          <cell r="Q198">
            <v>297</v>
          </cell>
          <cell r="R198">
            <v>396</v>
          </cell>
          <cell r="S198">
            <v>396</v>
          </cell>
          <cell r="T198">
            <v>0</v>
          </cell>
          <cell r="U198">
            <v>0</v>
          </cell>
          <cell r="V198">
            <v>0</v>
          </cell>
          <cell r="W198">
            <v>0</v>
          </cell>
        </row>
        <row r="199">
          <cell r="A199" t="str">
            <v>551.33</v>
          </cell>
          <cell r="B199">
            <v>194</v>
          </cell>
          <cell r="C199" t="str">
            <v>686.53 (x0,15)</v>
          </cell>
          <cell r="D199" t="str">
            <v>PSY</v>
          </cell>
          <cell r="E199">
            <v>1000</v>
          </cell>
          <cell r="F199">
            <v>0</v>
          </cell>
          <cell r="G199">
            <v>100</v>
          </cell>
          <cell r="H199">
            <v>15.75</v>
          </cell>
          <cell r="I199">
            <v>500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row>
        <row r="200">
          <cell r="A200" t="str">
            <v>551.34</v>
          </cell>
          <cell r="B200">
            <v>195</v>
          </cell>
          <cell r="C200" t="str">
            <v>686.63 (x0,15)</v>
          </cell>
          <cell r="D200" t="str">
            <v>ReWi</v>
          </cell>
          <cell r="E200">
            <v>6300</v>
          </cell>
          <cell r="F200">
            <v>0</v>
          </cell>
          <cell r="G200">
            <v>500</v>
          </cell>
          <cell r="H200">
            <v>3189.63</v>
          </cell>
          <cell r="I200">
            <v>0</v>
          </cell>
          <cell r="J200">
            <v>132</v>
          </cell>
          <cell r="K200">
            <v>132</v>
          </cell>
          <cell r="L200">
            <v>132</v>
          </cell>
          <cell r="M200">
            <v>132</v>
          </cell>
          <cell r="N200">
            <v>365.0625</v>
          </cell>
          <cell r="O200">
            <v>831.1875</v>
          </cell>
          <cell r="P200">
            <v>831.1875</v>
          </cell>
          <cell r="Q200">
            <v>1478.8125</v>
          </cell>
          <cell r="R200">
            <v>1685.0625</v>
          </cell>
          <cell r="S200">
            <v>1685.0625</v>
          </cell>
          <cell r="T200">
            <v>0</v>
          </cell>
          <cell r="U200">
            <v>0</v>
          </cell>
          <cell r="V200">
            <v>0</v>
          </cell>
          <cell r="W200">
            <v>0</v>
          </cell>
        </row>
        <row r="201">
          <cell r="A201" t="str">
            <v>551.35</v>
          </cell>
          <cell r="B201">
            <v>196</v>
          </cell>
          <cell r="C201" t="str">
            <v>686.73 (x0,15)</v>
          </cell>
          <cell r="D201" t="str">
            <v>M+I</v>
          </cell>
          <cell r="E201">
            <v>2000</v>
          </cell>
          <cell r="F201">
            <v>0</v>
          </cell>
          <cell r="G201">
            <v>200</v>
          </cell>
          <cell r="H201">
            <v>1006.5</v>
          </cell>
          <cell r="I201">
            <v>0</v>
          </cell>
          <cell r="J201">
            <v>132</v>
          </cell>
          <cell r="K201">
            <v>132</v>
          </cell>
          <cell r="L201">
            <v>231</v>
          </cell>
          <cell r="M201">
            <v>231</v>
          </cell>
          <cell r="N201">
            <v>313.5</v>
          </cell>
          <cell r="O201">
            <v>445.5</v>
          </cell>
          <cell r="P201">
            <v>577.5</v>
          </cell>
          <cell r="Q201">
            <v>775.5</v>
          </cell>
          <cell r="R201">
            <v>940.5</v>
          </cell>
          <cell r="S201">
            <v>940.5</v>
          </cell>
          <cell r="T201">
            <v>0</v>
          </cell>
          <cell r="U201">
            <v>0</v>
          </cell>
          <cell r="V201">
            <v>0</v>
          </cell>
          <cell r="W201">
            <v>0</v>
          </cell>
        </row>
        <row r="202">
          <cell r="A202" t="str">
            <v>551.40</v>
          </cell>
          <cell r="B202">
            <v>197</v>
          </cell>
          <cell r="C202">
            <v>0</v>
          </cell>
          <cell r="D202" t="str">
            <v>Bewirtung und Repräsentation extern</v>
          </cell>
          <cell r="E202">
            <v>2900</v>
          </cell>
          <cell r="F202">
            <v>0</v>
          </cell>
          <cell r="G202">
            <v>3040</v>
          </cell>
          <cell r="H202">
            <v>134.06</v>
          </cell>
          <cell r="I202">
            <v>1290</v>
          </cell>
          <cell r="J202">
            <v>0</v>
          </cell>
          <cell r="K202">
            <v>0</v>
          </cell>
          <cell r="L202">
            <v>28.8</v>
          </cell>
          <cell r="M202">
            <v>28.8</v>
          </cell>
          <cell r="N202">
            <v>28.8</v>
          </cell>
          <cell r="O202">
            <v>28.8</v>
          </cell>
          <cell r="P202">
            <v>28.8</v>
          </cell>
          <cell r="Q202">
            <v>41.31</v>
          </cell>
          <cell r="R202">
            <v>41.31</v>
          </cell>
          <cell r="S202">
            <v>41.31</v>
          </cell>
          <cell r="T202">
            <v>0</v>
          </cell>
          <cell r="U202">
            <v>0</v>
          </cell>
          <cell r="V202">
            <v>0</v>
          </cell>
          <cell r="W202">
            <v>0</v>
          </cell>
        </row>
        <row r="203">
          <cell r="A203" t="str">
            <v>551.41</v>
          </cell>
          <cell r="B203">
            <v>198</v>
          </cell>
          <cell r="C203" t="str">
            <v>686.35 (x0,9), 686.37</v>
          </cell>
          <cell r="D203" t="str">
            <v>WiWi</v>
          </cell>
          <cell r="E203">
            <v>2100</v>
          </cell>
          <cell r="F203">
            <v>0</v>
          </cell>
          <cell r="G203">
            <v>1500</v>
          </cell>
          <cell r="H203">
            <v>134.06</v>
          </cell>
          <cell r="I203">
            <v>500</v>
          </cell>
          <cell r="J203">
            <v>0</v>
          </cell>
          <cell r="K203">
            <v>0</v>
          </cell>
          <cell r="L203">
            <v>28.8</v>
          </cell>
          <cell r="M203">
            <v>28.8</v>
          </cell>
          <cell r="N203">
            <v>28.8</v>
          </cell>
          <cell r="O203">
            <v>28.8</v>
          </cell>
          <cell r="P203">
            <v>28.8</v>
          </cell>
          <cell r="Q203">
            <v>41.31</v>
          </cell>
          <cell r="R203">
            <v>41.31</v>
          </cell>
          <cell r="S203">
            <v>41.31</v>
          </cell>
          <cell r="T203">
            <v>0</v>
          </cell>
          <cell r="U203">
            <v>0</v>
          </cell>
          <cell r="V203">
            <v>0</v>
          </cell>
          <cell r="W203">
            <v>0</v>
          </cell>
        </row>
        <row r="204">
          <cell r="A204" t="str">
            <v>551.42</v>
          </cell>
          <cell r="B204">
            <v>199</v>
          </cell>
          <cell r="C204" t="str">
            <v>686.47</v>
          </cell>
          <cell r="D204" t="str">
            <v>KSW</v>
          </cell>
          <cell r="E204">
            <v>100</v>
          </cell>
          <cell r="F204">
            <v>0</v>
          </cell>
          <cell r="G204">
            <v>340</v>
          </cell>
          <cell r="H204">
            <v>0</v>
          </cell>
          <cell r="I204">
            <v>340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row>
        <row r="205">
          <cell r="A205" t="str">
            <v>551.43</v>
          </cell>
          <cell r="B205">
            <v>200</v>
          </cell>
          <cell r="C205" t="str">
            <v>686.57</v>
          </cell>
          <cell r="D205" t="str">
            <v>PSY</v>
          </cell>
          <cell r="E205">
            <v>200</v>
          </cell>
          <cell r="F205">
            <v>0</v>
          </cell>
          <cell r="G205">
            <v>500</v>
          </cell>
          <cell r="H205">
            <v>0</v>
          </cell>
          <cell r="I205">
            <v>200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row>
        <row r="206">
          <cell r="A206" t="str">
            <v>551.44</v>
          </cell>
          <cell r="B206">
            <v>201</v>
          </cell>
          <cell r="C206" t="str">
            <v>686.67</v>
          </cell>
          <cell r="D206" t="str">
            <v>ReWi</v>
          </cell>
          <cell r="E206">
            <v>300</v>
          </cell>
          <cell r="F206">
            <v>0</v>
          </cell>
          <cell r="G206">
            <v>450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row>
        <row r="207">
          <cell r="A207" t="str">
            <v>551.45</v>
          </cell>
          <cell r="B207">
            <v>202</v>
          </cell>
          <cell r="C207" t="str">
            <v>686.77</v>
          </cell>
          <cell r="D207" t="str">
            <v>M+I</v>
          </cell>
          <cell r="E207">
            <v>200</v>
          </cell>
          <cell r="F207">
            <v>0</v>
          </cell>
          <cell r="G207">
            <v>250</v>
          </cell>
          <cell r="H207">
            <v>0</v>
          </cell>
          <cell r="I207">
            <v>250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t="str">
            <v>551.50</v>
          </cell>
          <cell r="B208">
            <v>203</v>
          </cell>
          <cell r="C208">
            <v>0</v>
          </cell>
          <cell r="D208" t="str">
            <v>Raum- und Unterkunftskosten extern</v>
          </cell>
          <cell r="E208">
            <v>12000</v>
          </cell>
          <cell r="F208">
            <v>0</v>
          </cell>
          <cell r="G208">
            <v>4300</v>
          </cell>
          <cell r="H208">
            <v>160</v>
          </cell>
          <cell r="I208">
            <v>7250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row>
        <row r="209">
          <cell r="A209" t="str">
            <v>551.51</v>
          </cell>
          <cell r="B209">
            <v>204</v>
          </cell>
          <cell r="C209" t="str">
            <v>686.36</v>
          </cell>
          <cell r="D209" t="str">
            <v>WiWi</v>
          </cell>
          <cell r="E209">
            <v>4000</v>
          </cell>
          <cell r="F209">
            <v>0</v>
          </cell>
          <cell r="G209">
            <v>3000</v>
          </cell>
          <cell r="H209">
            <v>0</v>
          </cell>
          <cell r="I209">
            <v>500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row>
        <row r="210">
          <cell r="A210" t="str">
            <v>551.52</v>
          </cell>
          <cell r="B210">
            <v>205</v>
          </cell>
          <cell r="C210" t="str">
            <v>686.46</v>
          </cell>
          <cell r="D210" t="str">
            <v>KSW</v>
          </cell>
          <cell r="E210">
            <v>500</v>
          </cell>
          <cell r="F210">
            <v>0</v>
          </cell>
          <cell r="G210">
            <v>200</v>
          </cell>
          <cell r="H210">
            <v>0</v>
          </cell>
          <cell r="I210">
            <v>4500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row>
        <row r="211">
          <cell r="A211" t="str">
            <v>551.53</v>
          </cell>
          <cell r="B211">
            <v>206</v>
          </cell>
          <cell r="C211" t="str">
            <v>686.56</v>
          </cell>
          <cell r="D211" t="str">
            <v>PSY</v>
          </cell>
          <cell r="E211">
            <v>2000</v>
          </cell>
          <cell r="F211">
            <v>0</v>
          </cell>
          <cell r="G211">
            <v>600</v>
          </cell>
          <cell r="H211">
            <v>0</v>
          </cell>
          <cell r="I211">
            <v>500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A212" t="str">
            <v>551.54</v>
          </cell>
          <cell r="B212">
            <v>207</v>
          </cell>
          <cell r="C212" t="str">
            <v>686.66</v>
          </cell>
          <cell r="D212" t="str">
            <v>ReWi</v>
          </cell>
          <cell r="E212">
            <v>4000</v>
          </cell>
          <cell r="F212">
            <v>0</v>
          </cell>
          <cell r="G212">
            <v>400</v>
          </cell>
          <cell r="H212">
            <v>0</v>
          </cell>
          <cell r="I212">
            <v>1500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row>
        <row r="213">
          <cell r="A213" t="str">
            <v>551.55</v>
          </cell>
          <cell r="B213">
            <v>208</v>
          </cell>
          <cell r="C213" t="str">
            <v>686.76</v>
          </cell>
          <cell r="D213" t="str">
            <v>M+I</v>
          </cell>
          <cell r="E213">
            <v>1500</v>
          </cell>
          <cell r="F213">
            <v>0</v>
          </cell>
          <cell r="G213">
            <v>100</v>
          </cell>
          <cell r="H213">
            <v>160</v>
          </cell>
          <cell r="I213">
            <v>250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row>
        <row r="214">
          <cell r="A214" t="str">
            <v>551.60</v>
          </cell>
          <cell r="B214">
            <v>209</v>
          </cell>
          <cell r="C214">
            <v>0</v>
          </cell>
          <cell r="D214" t="str">
            <v>Druckkosten</v>
          </cell>
          <cell r="E214">
            <v>0</v>
          </cell>
          <cell r="F214">
            <v>5276.7</v>
          </cell>
          <cell r="G214">
            <v>10720</v>
          </cell>
          <cell r="H214">
            <v>491.12</v>
          </cell>
          <cell r="I214">
            <v>5000</v>
          </cell>
          <cell r="J214">
            <v>19.8</v>
          </cell>
          <cell r="K214">
            <v>44.878</v>
          </cell>
          <cell r="L214">
            <v>54.778000000000006</v>
          </cell>
          <cell r="M214">
            <v>84.478000000000009</v>
          </cell>
          <cell r="N214">
            <v>115.256</v>
          </cell>
          <cell r="O214">
            <v>201.53700000000003</v>
          </cell>
          <cell r="P214">
            <v>221.33699999999999</v>
          </cell>
          <cell r="Q214">
            <v>241.137</v>
          </cell>
          <cell r="R214">
            <v>385.93700000000001</v>
          </cell>
          <cell r="S214">
            <v>385.93700000000001</v>
          </cell>
          <cell r="T214">
            <v>0</v>
          </cell>
          <cell r="U214">
            <v>0</v>
          </cell>
          <cell r="V214">
            <v>0</v>
          </cell>
          <cell r="W214">
            <v>0</v>
          </cell>
        </row>
        <row r="215">
          <cell r="A215" t="str">
            <v>551.61</v>
          </cell>
          <cell r="B215">
            <v>210</v>
          </cell>
          <cell r="C215" t="str">
            <v>686.38 (x0,1)</v>
          </cell>
          <cell r="D215" t="str">
            <v>WiWi</v>
          </cell>
          <cell r="E215">
            <v>0</v>
          </cell>
          <cell r="F215">
            <v>2507.77</v>
          </cell>
          <cell r="G215">
            <v>4000</v>
          </cell>
          <cell r="H215">
            <v>241.4</v>
          </cell>
          <cell r="I215">
            <v>3500</v>
          </cell>
          <cell r="J215">
            <v>9.9</v>
          </cell>
          <cell r="K215">
            <v>19.8</v>
          </cell>
          <cell r="L215">
            <v>29.700000000000003</v>
          </cell>
          <cell r="M215">
            <v>39.6</v>
          </cell>
          <cell r="N215">
            <v>55.046000000000006</v>
          </cell>
          <cell r="O215">
            <v>97.77300000000001</v>
          </cell>
          <cell r="P215">
            <v>107.673</v>
          </cell>
          <cell r="Q215">
            <v>117.57300000000001</v>
          </cell>
          <cell r="R215">
            <v>202.47300000000001</v>
          </cell>
          <cell r="S215">
            <v>202.47300000000001</v>
          </cell>
          <cell r="T215">
            <v>0</v>
          </cell>
          <cell r="U215">
            <v>0</v>
          </cell>
          <cell r="V215">
            <v>0</v>
          </cell>
          <cell r="W215">
            <v>0</v>
          </cell>
        </row>
        <row r="216">
          <cell r="A216" t="str">
            <v>551.62</v>
          </cell>
          <cell r="B216">
            <v>211</v>
          </cell>
          <cell r="C216" t="str">
            <v>686.48 (x0,1)</v>
          </cell>
          <cell r="D216" t="str">
            <v>KSW</v>
          </cell>
          <cell r="E216">
            <v>0</v>
          </cell>
          <cell r="F216">
            <v>30</v>
          </cell>
          <cell r="G216">
            <v>1500</v>
          </cell>
          <cell r="H216">
            <v>24</v>
          </cell>
          <cell r="I216">
            <v>1500</v>
          </cell>
          <cell r="J216">
            <v>0</v>
          </cell>
          <cell r="K216">
            <v>5.2780000000000005</v>
          </cell>
          <cell r="L216">
            <v>5.2780000000000005</v>
          </cell>
          <cell r="M216">
            <v>5.2780000000000005</v>
          </cell>
          <cell r="N216">
            <v>7.9939999999999998</v>
          </cell>
          <cell r="O216">
            <v>23.821000000000002</v>
          </cell>
          <cell r="P216">
            <v>23.821000000000002</v>
          </cell>
          <cell r="Q216">
            <v>23.821000000000002</v>
          </cell>
          <cell r="R216">
            <v>23.821000000000002</v>
          </cell>
          <cell r="S216">
            <v>23.821000000000002</v>
          </cell>
          <cell r="T216">
            <v>0</v>
          </cell>
          <cell r="U216">
            <v>0</v>
          </cell>
          <cell r="V216">
            <v>0</v>
          </cell>
          <cell r="W216">
            <v>0</v>
          </cell>
        </row>
        <row r="217">
          <cell r="A217" t="str">
            <v>551.63</v>
          </cell>
          <cell r="B217">
            <v>212</v>
          </cell>
          <cell r="C217" t="str">
            <v>686.58 (x0,1)</v>
          </cell>
          <cell r="D217" t="str">
            <v>PSY</v>
          </cell>
          <cell r="E217">
            <v>0</v>
          </cell>
          <cell r="F217">
            <v>30</v>
          </cell>
          <cell r="G217">
            <v>2620</v>
          </cell>
          <cell r="H217">
            <v>3</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row>
        <row r="218">
          <cell r="A218" t="str">
            <v>551.64</v>
          </cell>
          <cell r="B218">
            <v>213</v>
          </cell>
          <cell r="C218" t="str">
            <v>686.68 (x0,1)</v>
          </cell>
          <cell r="D218" t="str">
            <v>ReWi</v>
          </cell>
          <cell r="E218">
            <v>0</v>
          </cell>
          <cell r="F218">
            <v>2559.1</v>
          </cell>
          <cell r="G218">
            <v>1700</v>
          </cell>
          <cell r="H218">
            <v>214.36</v>
          </cell>
          <cell r="I218">
            <v>0</v>
          </cell>
          <cell r="J218">
            <v>9.9</v>
          </cell>
          <cell r="K218">
            <v>19.8</v>
          </cell>
          <cell r="L218">
            <v>19.8</v>
          </cell>
          <cell r="M218">
            <v>39.6</v>
          </cell>
          <cell r="N218">
            <v>49.5</v>
          </cell>
          <cell r="O218">
            <v>61.400000000000006</v>
          </cell>
          <cell r="P218">
            <v>71.3</v>
          </cell>
          <cell r="Q218">
            <v>81.2</v>
          </cell>
          <cell r="R218">
            <v>141.1</v>
          </cell>
          <cell r="S218">
            <v>141.1</v>
          </cell>
          <cell r="T218">
            <v>0</v>
          </cell>
          <cell r="U218">
            <v>0</v>
          </cell>
          <cell r="V218">
            <v>0</v>
          </cell>
          <cell r="W218">
            <v>0</v>
          </cell>
        </row>
        <row r="219">
          <cell r="A219" t="str">
            <v>551.65</v>
          </cell>
          <cell r="B219">
            <v>214</v>
          </cell>
          <cell r="C219" t="str">
            <v>686.78 (x0,1)</v>
          </cell>
          <cell r="D219" t="str">
            <v>M+I</v>
          </cell>
          <cell r="E219">
            <v>0</v>
          </cell>
          <cell r="F219">
            <v>149.83000000000001</v>
          </cell>
          <cell r="G219">
            <v>900</v>
          </cell>
          <cell r="H219">
            <v>8.36</v>
          </cell>
          <cell r="I219">
            <v>0</v>
          </cell>
          <cell r="J219">
            <v>0</v>
          </cell>
          <cell r="K219">
            <v>0</v>
          </cell>
          <cell r="L219">
            <v>0</v>
          </cell>
          <cell r="M219">
            <v>0</v>
          </cell>
          <cell r="N219">
            <v>2.7160000000000002</v>
          </cell>
          <cell r="O219">
            <v>18.543000000000003</v>
          </cell>
          <cell r="P219">
            <v>18.543000000000003</v>
          </cell>
          <cell r="Q219">
            <v>18.543000000000003</v>
          </cell>
          <cell r="R219">
            <v>18.543000000000003</v>
          </cell>
          <cell r="S219">
            <v>18.543000000000003</v>
          </cell>
          <cell r="T219">
            <v>0</v>
          </cell>
          <cell r="U219">
            <v>0</v>
          </cell>
          <cell r="V219">
            <v>0</v>
          </cell>
          <cell r="W219">
            <v>0</v>
          </cell>
        </row>
        <row r="220">
          <cell r="A220" t="str">
            <v>551.70</v>
          </cell>
          <cell r="B220">
            <v>215</v>
          </cell>
          <cell r="C220">
            <v>0</v>
          </cell>
          <cell r="D220" t="str">
            <v>Sonstige Kosten (Lizenzen, Allg. Geschäftsbetrieb)</v>
          </cell>
          <cell r="E220">
            <v>10000</v>
          </cell>
          <cell r="F220">
            <v>0</v>
          </cell>
          <cell r="G220">
            <v>10950</v>
          </cell>
          <cell r="H220">
            <v>4420.04</v>
          </cell>
          <cell r="I220">
            <v>8300</v>
          </cell>
          <cell r="J220">
            <v>178.20000000000002</v>
          </cell>
          <cell r="K220">
            <v>403.90200000000004</v>
          </cell>
          <cell r="L220">
            <v>493.00200000000007</v>
          </cell>
          <cell r="M220">
            <v>760.30200000000013</v>
          </cell>
          <cell r="N220">
            <v>1037.3040000000001</v>
          </cell>
          <cell r="O220">
            <v>1813.8329999999999</v>
          </cell>
          <cell r="P220">
            <v>1992.0329999999999</v>
          </cell>
          <cell r="Q220">
            <v>2170.2330000000006</v>
          </cell>
          <cell r="R220">
            <v>3473.4330000000004</v>
          </cell>
          <cell r="S220">
            <v>3473.4330000000004</v>
          </cell>
          <cell r="T220">
            <v>0</v>
          </cell>
          <cell r="U220">
            <v>0</v>
          </cell>
          <cell r="V220">
            <v>0</v>
          </cell>
          <cell r="W220">
            <v>0</v>
          </cell>
        </row>
        <row r="221">
          <cell r="A221" t="str">
            <v>551.71</v>
          </cell>
          <cell r="B221">
            <v>216</v>
          </cell>
          <cell r="C221" t="str">
            <v>686.38 (x0,9)</v>
          </cell>
          <cell r="D221" t="str">
            <v>WiWi</v>
          </cell>
          <cell r="E221">
            <v>4000</v>
          </cell>
          <cell r="F221">
            <v>0</v>
          </cell>
          <cell r="G221">
            <v>3400</v>
          </cell>
          <cell r="H221">
            <v>2172.58</v>
          </cell>
          <cell r="I221">
            <v>2500</v>
          </cell>
          <cell r="J221">
            <v>89.100000000000009</v>
          </cell>
          <cell r="K221">
            <v>178.20000000000002</v>
          </cell>
          <cell r="L221">
            <v>267.3</v>
          </cell>
          <cell r="M221">
            <v>356.40000000000003</v>
          </cell>
          <cell r="N221">
            <v>495.41400000000004</v>
          </cell>
          <cell r="O221">
            <v>879.95699999999999</v>
          </cell>
          <cell r="P221">
            <v>969.05700000000002</v>
          </cell>
          <cell r="Q221">
            <v>1058.1570000000002</v>
          </cell>
          <cell r="R221">
            <v>1822.2570000000001</v>
          </cell>
          <cell r="S221">
            <v>1822.2570000000001</v>
          </cell>
          <cell r="T221">
            <v>0</v>
          </cell>
          <cell r="U221">
            <v>0</v>
          </cell>
          <cell r="V221">
            <v>0</v>
          </cell>
          <cell r="W221">
            <v>0</v>
          </cell>
        </row>
        <row r="222">
          <cell r="A222" t="str">
            <v>551.72</v>
          </cell>
          <cell r="B222">
            <v>217</v>
          </cell>
          <cell r="C222" t="str">
            <v>686.48 (x0,9)</v>
          </cell>
          <cell r="D222" t="str">
            <v>KSW</v>
          </cell>
          <cell r="E222">
            <v>500</v>
          </cell>
          <cell r="F222">
            <v>0</v>
          </cell>
          <cell r="G222">
            <v>1800</v>
          </cell>
          <cell r="H222">
            <v>216</v>
          </cell>
          <cell r="I222">
            <v>2300</v>
          </cell>
          <cell r="J222">
            <v>0</v>
          </cell>
          <cell r="K222">
            <v>47.502000000000002</v>
          </cell>
          <cell r="L222">
            <v>47.502000000000002</v>
          </cell>
          <cell r="M222">
            <v>47.502000000000002</v>
          </cell>
          <cell r="N222">
            <v>71.945999999999998</v>
          </cell>
          <cell r="O222">
            <v>214.38900000000001</v>
          </cell>
          <cell r="P222">
            <v>214.38900000000001</v>
          </cell>
          <cell r="Q222">
            <v>214.38900000000001</v>
          </cell>
          <cell r="R222">
            <v>214.38900000000001</v>
          </cell>
          <cell r="S222">
            <v>214.38900000000001</v>
          </cell>
          <cell r="T222">
            <v>0</v>
          </cell>
          <cell r="U222">
            <v>0</v>
          </cell>
          <cell r="V222">
            <v>0</v>
          </cell>
          <cell r="W222">
            <v>0</v>
          </cell>
        </row>
        <row r="223">
          <cell r="A223" t="str">
            <v>551.73</v>
          </cell>
          <cell r="B223">
            <v>218</v>
          </cell>
          <cell r="C223" t="str">
            <v>686.58 (x0,9)</v>
          </cell>
          <cell r="D223" t="str">
            <v>PSY</v>
          </cell>
          <cell r="E223">
            <v>1000</v>
          </cell>
          <cell r="F223">
            <v>0</v>
          </cell>
          <cell r="G223">
            <v>1000</v>
          </cell>
          <cell r="H223">
            <v>27</v>
          </cell>
          <cell r="I223">
            <v>1000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t="str">
            <v>551.74</v>
          </cell>
          <cell r="B224">
            <v>219</v>
          </cell>
          <cell r="C224" t="str">
            <v>686.68 (x0,9)</v>
          </cell>
          <cell r="D224" t="str">
            <v>ReWi</v>
          </cell>
          <cell r="E224">
            <v>3000</v>
          </cell>
          <cell r="F224">
            <v>0</v>
          </cell>
          <cell r="G224">
            <v>3500</v>
          </cell>
          <cell r="H224">
            <v>1929.24</v>
          </cell>
          <cell r="I224">
            <v>2000</v>
          </cell>
          <cell r="J224">
            <v>89.100000000000009</v>
          </cell>
          <cell r="K224">
            <v>178.20000000000002</v>
          </cell>
          <cell r="L224">
            <v>178.20000000000002</v>
          </cell>
          <cell r="M224">
            <v>356.40000000000003</v>
          </cell>
          <cell r="N224">
            <v>445.5</v>
          </cell>
          <cell r="O224">
            <v>552.6</v>
          </cell>
          <cell r="P224">
            <v>641.70000000000005</v>
          </cell>
          <cell r="Q224">
            <v>730.80000000000007</v>
          </cell>
          <cell r="R224">
            <v>1269.9000000000001</v>
          </cell>
          <cell r="S224">
            <v>1269.9000000000001</v>
          </cell>
          <cell r="T224">
            <v>0</v>
          </cell>
          <cell r="U224">
            <v>0</v>
          </cell>
          <cell r="V224">
            <v>0</v>
          </cell>
          <cell r="W224">
            <v>0</v>
          </cell>
        </row>
        <row r="225">
          <cell r="A225" t="str">
            <v>551.75</v>
          </cell>
          <cell r="B225">
            <v>220</v>
          </cell>
          <cell r="C225" t="str">
            <v>686.78 (x0,9)</v>
          </cell>
          <cell r="D225" t="str">
            <v>M+I</v>
          </cell>
          <cell r="E225">
            <v>1500</v>
          </cell>
          <cell r="F225">
            <v>0</v>
          </cell>
          <cell r="G225">
            <v>1250</v>
          </cell>
          <cell r="H225">
            <v>75.22</v>
          </cell>
          <cell r="I225">
            <v>500</v>
          </cell>
          <cell r="J225">
            <v>0</v>
          </cell>
          <cell r="K225">
            <v>0</v>
          </cell>
          <cell r="L225">
            <v>0</v>
          </cell>
          <cell r="M225">
            <v>0</v>
          </cell>
          <cell r="N225">
            <v>24.443999999999999</v>
          </cell>
          <cell r="O225">
            <v>166.887</v>
          </cell>
          <cell r="P225">
            <v>166.887</v>
          </cell>
          <cell r="Q225">
            <v>166.887</v>
          </cell>
          <cell r="R225">
            <v>166.887</v>
          </cell>
          <cell r="S225">
            <v>166.887</v>
          </cell>
          <cell r="T225">
            <v>0</v>
          </cell>
          <cell r="U225">
            <v>0</v>
          </cell>
          <cell r="V225">
            <v>0</v>
          </cell>
          <cell r="W225">
            <v>0</v>
          </cell>
        </row>
        <row r="226">
          <cell r="B226">
            <v>221</v>
          </cell>
          <cell r="H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row>
        <row r="227">
          <cell r="B227">
            <v>222</v>
          </cell>
          <cell r="H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row>
        <row r="228">
          <cell r="A228" t="str">
            <v>560.00</v>
          </cell>
          <cell r="B228">
            <v>222</v>
          </cell>
          <cell r="C228">
            <v>0</v>
          </cell>
          <cell r="D228" t="str">
            <v>Leistungen durch Dritte und Kooperationen</v>
          </cell>
          <cell r="E228">
            <v>27850</v>
          </cell>
          <cell r="F228">
            <v>21966.35</v>
          </cell>
          <cell r="G228">
            <v>88700</v>
          </cell>
          <cell r="H228">
            <v>37860.17</v>
          </cell>
          <cell r="I228">
            <v>229988</v>
          </cell>
          <cell r="J228">
            <v>1736.83</v>
          </cell>
          <cell r="K228">
            <v>2643.1000000000004</v>
          </cell>
          <cell r="L228">
            <v>3227.23</v>
          </cell>
          <cell r="M228">
            <v>5432.9960000000001</v>
          </cell>
          <cell r="N228">
            <v>6479.9840000000004</v>
          </cell>
          <cell r="O228">
            <v>11564.974</v>
          </cell>
          <cell r="P228">
            <v>12406.045999999998</v>
          </cell>
          <cell r="Q228">
            <v>13730.45</v>
          </cell>
          <cell r="R228">
            <v>16239.862000000001</v>
          </cell>
          <cell r="S228">
            <v>17047.016</v>
          </cell>
          <cell r="T228">
            <v>0</v>
          </cell>
          <cell r="U228">
            <v>0</v>
          </cell>
          <cell r="V228">
            <v>0</v>
          </cell>
          <cell r="W228">
            <v>0</v>
          </cell>
        </row>
        <row r="229">
          <cell r="A229" t="str">
            <v>560.10</v>
          </cell>
          <cell r="B229">
            <v>223</v>
          </cell>
          <cell r="C229" t="str">
            <v>526.20</v>
          </cell>
          <cell r="D229" t="str">
            <v>Lohnbuchführung</v>
          </cell>
          <cell r="E229">
            <v>5000</v>
          </cell>
          <cell r="F229">
            <v>3663.15</v>
          </cell>
          <cell r="G229">
            <v>5000</v>
          </cell>
          <cell r="H229">
            <v>4416.1499999999996</v>
          </cell>
          <cell r="I229">
            <v>5000</v>
          </cell>
          <cell r="J229">
            <v>304.64</v>
          </cell>
          <cell r="K229">
            <v>561.67999999999995</v>
          </cell>
          <cell r="L229">
            <v>561.67999999999995</v>
          </cell>
          <cell r="M229">
            <v>1075.76</v>
          </cell>
          <cell r="N229">
            <v>1075.76</v>
          </cell>
          <cell r="O229">
            <v>1075.76</v>
          </cell>
          <cell r="P229">
            <v>1332.8</v>
          </cell>
          <cell r="Q229">
            <v>1846.88</v>
          </cell>
          <cell r="R229">
            <v>2103.92</v>
          </cell>
          <cell r="S229">
            <v>2103.92</v>
          </cell>
          <cell r="T229">
            <v>0</v>
          </cell>
          <cell r="U229">
            <v>0</v>
          </cell>
          <cell r="V229">
            <v>0</v>
          </cell>
          <cell r="W229">
            <v>0</v>
          </cell>
        </row>
        <row r="230">
          <cell r="A230" t="str">
            <v>560.20</v>
          </cell>
          <cell r="B230">
            <v>224</v>
          </cell>
          <cell r="C230" t="str">
            <v>526.30</v>
          </cell>
          <cell r="D230" t="str">
            <v>Beratungen (Supervision Büro z.B.)</v>
          </cell>
          <cell r="E230">
            <v>500</v>
          </cell>
          <cell r="F230">
            <v>1517.25</v>
          </cell>
          <cell r="G230">
            <v>2500</v>
          </cell>
          <cell r="H230">
            <v>1561.88</v>
          </cell>
          <cell r="I230">
            <v>2000</v>
          </cell>
          <cell r="J230">
            <v>0</v>
          </cell>
          <cell r="K230">
            <v>0</v>
          </cell>
          <cell r="L230">
            <v>0</v>
          </cell>
          <cell r="M230">
            <v>0</v>
          </cell>
          <cell r="N230">
            <v>450</v>
          </cell>
          <cell r="O230">
            <v>1071</v>
          </cell>
          <cell r="P230">
            <v>1071</v>
          </cell>
          <cell r="Q230">
            <v>1071</v>
          </cell>
          <cell r="R230">
            <v>1071</v>
          </cell>
          <cell r="S230">
            <v>1071</v>
          </cell>
          <cell r="T230">
            <v>0</v>
          </cell>
          <cell r="U230">
            <v>0</v>
          </cell>
          <cell r="V230">
            <v>0</v>
          </cell>
          <cell r="W230">
            <v>0</v>
          </cell>
        </row>
        <row r="231">
          <cell r="A231" t="str">
            <v>560.30</v>
          </cell>
          <cell r="B231">
            <v>225</v>
          </cell>
          <cell r="C231" t="str">
            <v>511.61 (x0,6), 511.63</v>
          </cell>
          <cell r="D231" t="str">
            <v>IT-Dienstleistungen</v>
          </cell>
          <cell r="E231">
            <v>8900</v>
          </cell>
          <cell r="F231">
            <v>8863.92</v>
          </cell>
          <cell r="G231">
            <v>18750</v>
          </cell>
          <cell r="H231">
            <v>8570.2800000000007</v>
          </cell>
          <cell r="I231">
            <v>85538</v>
          </cell>
          <cell r="J231">
            <v>698.14499999999987</v>
          </cell>
          <cell r="K231">
            <v>1325.5350000000001</v>
          </cell>
          <cell r="L231">
            <v>1909.665</v>
          </cell>
          <cell r="M231">
            <v>2564.8510000000001</v>
          </cell>
          <cell r="N231">
            <v>3143.989</v>
          </cell>
          <cell r="O231">
            <v>3818.1189999999997</v>
          </cell>
          <cell r="P231">
            <v>4391.4209999999994</v>
          </cell>
          <cell r="Q231">
            <v>5201.7449999999999</v>
          </cell>
          <cell r="R231">
            <v>6002.3169999999991</v>
          </cell>
          <cell r="S231">
            <v>6798.7409999999991</v>
          </cell>
          <cell r="T231">
            <v>0</v>
          </cell>
          <cell r="U231">
            <v>0</v>
          </cell>
          <cell r="V231">
            <v>0</v>
          </cell>
          <cell r="W231">
            <v>0</v>
          </cell>
        </row>
        <row r="232">
          <cell r="A232" t="str">
            <v>560.40</v>
          </cell>
          <cell r="B232">
            <v>226</v>
          </cell>
          <cell r="C232" t="str">
            <v>n.a.</v>
          </cell>
          <cell r="D232" t="str">
            <v>Sonstige Leistungen durch Dritte</v>
          </cell>
          <cell r="E232">
            <v>0</v>
          </cell>
          <cell r="F232">
            <v>0</v>
          </cell>
          <cell r="G232">
            <v>500</v>
          </cell>
          <cell r="H232">
            <v>0</v>
          </cell>
          <cell r="I232">
            <v>55000</v>
          </cell>
          <cell r="J232">
            <v>6.915</v>
          </cell>
          <cell r="K232">
            <v>28.754999999999999</v>
          </cell>
          <cell r="L232">
            <v>28.754999999999999</v>
          </cell>
          <cell r="M232">
            <v>35.905000000000001</v>
          </cell>
          <cell r="N232">
            <v>53.755000000000003</v>
          </cell>
          <cell r="O232">
            <v>53.755000000000003</v>
          </cell>
          <cell r="P232">
            <v>64.484999999999999</v>
          </cell>
          <cell r="Q232">
            <v>64.484999999999999</v>
          </cell>
          <cell r="R232">
            <v>123.985</v>
          </cell>
          <cell r="S232">
            <v>134.715</v>
          </cell>
          <cell r="T232">
            <v>0</v>
          </cell>
          <cell r="U232">
            <v>0</v>
          </cell>
          <cell r="V232">
            <v>0</v>
          </cell>
          <cell r="W232">
            <v>0</v>
          </cell>
        </row>
        <row r="233">
          <cell r="A233" t="str">
            <v>560.50</v>
          </cell>
          <cell r="B233">
            <v>228</v>
          </cell>
          <cell r="C233" t="str">
            <v>526.10, 550.17</v>
          </cell>
          <cell r="D233" t="str">
            <v>Rechtsanwaltskosten AStA/Stupa</v>
          </cell>
          <cell r="E233">
            <v>15500</v>
          </cell>
          <cell r="F233">
            <v>7761.38</v>
          </cell>
          <cell r="G233">
            <v>25000</v>
          </cell>
          <cell r="H233">
            <v>23311.86</v>
          </cell>
          <cell r="I233">
            <v>25000</v>
          </cell>
          <cell r="J233">
            <v>727.13</v>
          </cell>
          <cell r="K233">
            <v>727.13</v>
          </cell>
          <cell r="L233">
            <v>727.13</v>
          </cell>
          <cell r="M233">
            <v>1756.48</v>
          </cell>
          <cell r="N233">
            <v>1756.48</v>
          </cell>
          <cell r="O233">
            <v>5546.34</v>
          </cell>
          <cell r="P233">
            <v>5546.34</v>
          </cell>
          <cell r="Q233">
            <v>5546.34</v>
          </cell>
          <cell r="R233">
            <v>6938.64</v>
          </cell>
          <cell r="S233">
            <v>6938.64</v>
          </cell>
          <cell r="T233">
            <v>0</v>
          </cell>
          <cell r="U233">
            <v>0</v>
          </cell>
          <cell r="V233">
            <v>0</v>
          </cell>
          <cell r="W233">
            <v>0</v>
          </cell>
        </row>
        <row r="234">
          <cell r="A234" t="str">
            <v>560.60</v>
          </cell>
          <cell r="B234">
            <v>229</v>
          </cell>
          <cell r="C234" t="str">
            <v>n.a.</v>
          </cell>
          <cell r="D234" t="str">
            <v>Prozesskosten und Gebühren AStA/Stupa</v>
          </cell>
          <cell r="E234">
            <v>0</v>
          </cell>
          <cell r="F234">
            <v>0</v>
          </cell>
          <cell r="G234">
            <v>1000</v>
          </cell>
          <cell r="H234">
            <v>0</v>
          </cell>
          <cell r="I234">
            <v>5000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row>
        <row r="235">
          <cell r="A235" t="str">
            <v>560.70</v>
          </cell>
          <cell r="B235">
            <v>230</v>
          </cell>
          <cell r="C235" t="str">
            <v>686.39, 686.49, 686.59, 686.69, 686.79</v>
          </cell>
          <cell r="D235" t="str">
            <v>Rechtskosten Fachschaften</v>
          </cell>
          <cell r="E235">
            <v>2950</v>
          </cell>
          <cell r="F235">
            <v>160.65</v>
          </cell>
          <cell r="G235">
            <v>2920</v>
          </cell>
          <cell r="H235">
            <v>0</v>
          </cell>
          <cell r="I235">
            <v>2450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row>
        <row r="236">
          <cell r="A236" t="str">
            <v>560.80</v>
          </cell>
          <cell r="B236">
            <v>231</v>
          </cell>
          <cell r="C236" t="str">
            <v>n.a.</v>
          </cell>
          <cell r="D236" t="str">
            <v>Rechtsberatung Studierende</v>
          </cell>
          <cell r="E236">
            <v>0</v>
          </cell>
          <cell r="F236">
            <v>0</v>
          </cell>
          <cell r="G236">
            <v>24000</v>
          </cell>
          <cell r="H236">
            <v>0</v>
          </cell>
          <cell r="I236">
            <v>50000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row>
        <row r="237">
          <cell r="B237">
            <v>231</v>
          </cell>
          <cell r="H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t="str">
            <v>580.00</v>
          </cell>
          <cell r="B238">
            <v>232</v>
          </cell>
          <cell r="C238">
            <v>0</v>
          </cell>
          <cell r="D238" t="str">
            <v>Wahlen und Studierendenbefragungen</v>
          </cell>
          <cell r="E238">
            <v>1700</v>
          </cell>
          <cell r="F238">
            <v>39511.550000000003</v>
          </cell>
          <cell r="G238">
            <v>142650</v>
          </cell>
          <cell r="H238">
            <v>0</v>
          </cell>
          <cell r="I238">
            <v>142650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row>
        <row r="239">
          <cell r="A239" t="str">
            <v>580.10</v>
          </cell>
          <cell r="B239">
            <v>233</v>
          </cell>
          <cell r="C239" t="str">
            <v>535.11</v>
          </cell>
          <cell r="D239" t="str">
            <v>AE fest Wahlen</v>
          </cell>
          <cell r="E239">
            <v>800</v>
          </cell>
          <cell r="F239">
            <v>800</v>
          </cell>
          <cell r="G239">
            <v>5600</v>
          </cell>
          <cell r="H239">
            <v>0</v>
          </cell>
          <cell r="I239">
            <v>5600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row>
        <row r="240">
          <cell r="A240" t="str">
            <v>580.20</v>
          </cell>
          <cell r="B240">
            <v>234</v>
          </cell>
          <cell r="C240" t="str">
            <v>535.12</v>
          </cell>
          <cell r="D240" t="str">
            <v>AE variabel Wahlen</v>
          </cell>
          <cell r="E240">
            <v>500</v>
          </cell>
          <cell r="F240">
            <v>595</v>
          </cell>
          <cell r="G240">
            <v>3000</v>
          </cell>
          <cell r="H240">
            <v>0</v>
          </cell>
          <cell r="I240">
            <v>3000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t="str">
            <v>580.30</v>
          </cell>
          <cell r="B241">
            <v>235</v>
          </cell>
          <cell r="C241" t="str">
            <v>535.21</v>
          </cell>
          <cell r="D241" t="str">
            <v>Fahrtkosten und Verpflegungspauschale Wahlen</v>
          </cell>
          <cell r="E241">
            <v>300</v>
          </cell>
          <cell r="F241">
            <v>504.35</v>
          </cell>
          <cell r="G241">
            <v>2000</v>
          </cell>
          <cell r="H241">
            <v>0</v>
          </cell>
          <cell r="I241">
            <v>2000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A242" t="str">
            <v>580.40</v>
          </cell>
          <cell r="B242">
            <v>237</v>
          </cell>
          <cell r="C242" t="str">
            <v>535.22</v>
          </cell>
          <cell r="D242" t="str">
            <v>Raum- und Unterkunftskosten Wahlen</v>
          </cell>
          <cell r="E242">
            <v>100</v>
          </cell>
          <cell r="F242">
            <v>8374.25</v>
          </cell>
          <cell r="G242">
            <v>2000</v>
          </cell>
          <cell r="H242">
            <v>0</v>
          </cell>
          <cell r="I242">
            <v>2000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t="str">
            <v>580.50</v>
          </cell>
          <cell r="B243">
            <v>238</v>
          </cell>
          <cell r="C243" t="str">
            <v>535.53 (x0,995)</v>
          </cell>
          <cell r="D243" t="str">
            <v>Wahltools und Sonstige Kosten</v>
          </cell>
          <cell r="E243">
            <v>0</v>
          </cell>
          <cell r="F243">
            <v>0</v>
          </cell>
          <cell r="G243">
            <v>19900</v>
          </cell>
          <cell r="H243">
            <v>0</v>
          </cell>
          <cell r="I243">
            <v>19900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row>
        <row r="244">
          <cell r="A244" t="str">
            <v>580.60</v>
          </cell>
          <cell r="B244">
            <v>239</v>
          </cell>
          <cell r="C244" t="str">
            <v>535.52</v>
          </cell>
          <cell r="D244" t="str">
            <v>Wahlrohr Druck</v>
          </cell>
          <cell r="E244">
            <v>0</v>
          </cell>
          <cell r="F244">
            <v>0</v>
          </cell>
          <cell r="G244">
            <v>45000</v>
          </cell>
          <cell r="H244">
            <v>0</v>
          </cell>
          <cell r="I244">
            <v>45000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row>
        <row r="245">
          <cell r="A245" t="str">
            <v>580.70</v>
          </cell>
          <cell r="B245">
            <v>240</v>
          </cell>
          <cell r="C245" t="str">
            <v>535.51</v>
          </cell>
          <cell r="D245" t="str">
            <v>Wahlrohr Versand</v>
          </cell>
          <cell r="E245">
            <v>0</v>
          </cell>
          <cell r="F245">
            <v>0</v>
          </cell>
          <cell r="G245">
            <v>65000</v>
          </cell>
          <cell r="H245">
            <v>0</v>
          </cell>
          <cell r="I245">
            <v>65000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row>
        <row r="246">
          <cell r="A246" t="str">
            <v>580.80</v>
          </cell>
          <cell r="B246">
            <v>241</v>
          </cell>
          <cell r="C246" t="str">
            <v>535.54</v>
          </cell>
          <cell r="D246" t="str">
            <v>Wahlunterlagen Druck</v>
          </cell>
          <cell r="E246">
            <v>0</v>
          </cell>
          <cell r="F246">
            <v>19.95</v>
          </cell>
          <cell r="G246">
            <v>50</v>
          </cell>
          <cell r="H246">
            <v>0</v>
          </cell>
          <cell r="I246">
            <v>50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A247" t="str">
            <v>580.90</v>
          </cell>
          <cell r="B247">
            <v>242</v>
          </cell>
          <cell r="C247" t="str">
            <v>535.53 (x0,005)</v>
          </cell>
          <cell r="D247" t="str">
            <v>Wahlunterlagen Versand</v>
          </cell>
          <cell r="E247">
            <v>0</v>
          </cell>
          <cell r="F247">
            <v>29218</v>
          </cell>
          <cell r="G247">
            <v>100</v>
          </cell>
          <cell r="H247">
            <v>0</v>
          </cell>
          <cell r="I247">
            <v>100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row>
        <row r="248">
          <cell r="B248">
            <v>243</v>
          </cell>
          <cell r="H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row>
        <row r="249">
          <cell r="B249">
            <v>244</v>
          </cell>
          <cell r="H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row>
        <row r="250">
          <cell r="A250" t="str">
            <v>Plan 6</v>
          </cell>
          <cell r="B250">
            <v>245</v>
          </cell>
          <cell r="C250">
            <v>0</v>
          </cell>
          <cell r="D250" t="str">
            <v>Zuschüsse, Mitgliedschaften, BHS</v>
          </cell>
          <cell r="E250">
            <v>222589.02</v>
          </cell>
          <cell r="F250">
            <v>193828.68</v>
          </cell>
          <cell r="G250">
            <v>223575</v>
          </cell>
          <cell r="H250">
            <v>145666.81</v>
          </cell>
          <cell r="I250">
            <v>221750</v>
          </cell>
          <cell r="J250">
            <v>18223.850000000002</v>
          </cell>
          <cell r="K250">
            <v>35137.96</v>
          </cell>
          <cell r="L250">
            <v>36146.340000000004</v>
          </cell>
          <cell r="M250">
            <v>69478.340000000011</v>
          </cell>
          <cell r="N250">
            <v>86144.34</v>
          </cell>
          <cell r="O250">
            <v>103016.46000000002</v>
          </cell>
          <cell r="P250">
            <v>120384.42</v>
          </cell>
          <cell r="Q250">
            <v>138127.23000000001</v>
          </cell>
          <cell r="R250">
            <v>153143.23000000001</v>
          </cell>
          <cell r="S250">
            <v>169855.67</v>
          </cell>
          <cell r="T250">
            <v>0</v>
          </cell>
          <cell r="U250">
            <v>0</v>
          </cell>
          <cell r="V250">
            <v>0</v>
          </cell>
          <cell r="W250">
            <v>0</v>
          </cell>
        </row>
        <row r="251">
          <cell r="A251" t="str">
            <v>681.00</v>
          </cell>
          <cell r="B251">
            <v>246</v>
          </cell>
          <cell r="C251">
            <v>0</v>
          </cell>
          <cell r="D251" t="str">
            <v>Zuschüsse</v>
          </cell>
          <cell r="E251">
            <v>119300</v>
          </cell>
          <cell r="F251">
            <v>90539.66</v>
          </cell>
          <cell r="G251">
            <v>95200</v>
          </cell>
          <cell r="H251">
            <v>18276.080000000002</v>
          </cell>
          <cell r="I251">
            <v>18150</v>
          </cell>
          <cell r="J251">
            <v>1557.85</v>
          </cell>
          <cell r="K251">
            <v>1805.96</v>
          </cell>
          <cell r="L251">
            <v>2789.34</v>
          </cell>
          <cell r="M251">
            <v>2789.34</v>
          </cell>
          <cell r="N251">
            <v>2789.34</v>
          </cell>
          <cell r="O251">
            <v>2995.46</v>
          </cell>
          <cell r="P251">
            <v>3697.42</v>
          </cell>
          <cell r="Q251">
            <v>4774.2299999999996</v>
          </cell>
          <cell r="R251">
            <v>3124.2299999999996</v>
          </cell>
          <cell r="S251">
            <v>3170.67</v>
          </cell>
          <cell r="T251">
            <v>0</v>
          </cell>
          <cell r="U251">
            <v>0</v>
          </cell>
          <cell r="V251">
            <v>0</v>
          </cell>
          <cell r="W251">
            <v>0</v>
          </cell>
        </row>
        <row r="252">
          <cell r="A252" t="str">
            <v>681.10</v>
          </cell>
          <cell r="B252">
            <v>247</v>
          </cell>
          <cell r="C252" t="str">
            <v>n.a.</v>
          </cell>
          <cell r="D252" t="str">
            <v>Zuschüsse für studentische Aktivitäten (neu!)</v>
          </cell>
          <cell r="E252">
            <v>0</v>
          </cell>
          <cell r="F252">
            <v>0</v>
          </cell>
          <cell r="G252">
            <v>3000</v>
          </cell>
          <cell r="H252">
            <v>0</v>
          </cell>
          <cell r="I252">
            <v>3000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row>
        <row r="253">
          <cell r="A253" t="str">
            <v>681.20</v>
          </cell>
          <cell r="B253">
            <v>248</v>
          </cell>
          <cell r="C253" t="str">
            <v>n.a.</v>
          </cell>
          <cell r="D253" t="str">
            <v>Besondere Fachschaftsaktivitäten (neu!)</v>
          </cell>
          <cell r="E253">
            <v>0</v>
          </cell>
          <cell r="F253">
            <v>0</v>
          </cell>
          <cell r="G253">
            <v>8000</v>
          </cell>
          <cell r="H253">
            <v>0</v>
          </cell>
          <cell r="I253">
            <v>8000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row>
        <row r="254">
          <cell r="A254" t="str">
            <v>681.30</v>
          </cell>
          <cell r="B254">
            <v>249</v>
          </cell>
          <cell r="C254" t="str">
            <v>686.81</v>
          </cell>
          <cell r="D254" t="str">
            <v>Honorare Lerngruppen</v>
          </cell>
          <cell r="E254">
            <v>60000</v>
          </cell>
          <cell r="F254">
            <v>44554.29</v>
          </cell>
          <cell r="G254">
            <v>0</v>
          </cell>
          <cell r="H254">
            <v>5783.25</v>
          </cell>
          <cell r="I254">
            <v>0</v>
          </cell>
          <cell r="J254">
            <v>0</v>
          </cell>
          <cell r="K254">
            <v>0</v>
          </cell>
          <cell r="L254">
            <v>0</v>
          </cell>
          <cell r="M254">
            <v>0</v>
          </cell>
          <cell r="N254">
            <v>0</v>
          </cell>
          <cell r="O254">
            <v>0</v>
          </cell>
          <cell r="P254">
            <v>0</v>
          </cell>
          <cell r="Q254">
            <v>0</v>
          </cell>
          <cell r="R254">
            <v>-1650</v>
          </cell>
          <cell r="S254">
            <v>-1650</v>
          </cell>
          <cell r="T254">
            <v>0</v>
          </cell>
          <cell r="U254">
            <v>0</v>
          </cell>
          <cell r="V254">
            <v>0</v>
          </cell>
          <cell r="W254">
            <v>0</v>
          </cell>
        </row>
        <row r="255">
          <cell r="A255" t="str">
            <v>681.40</v>
          </cell>
          <cell r="B255">
            <v>250</v>
          </cell>
          <cell r="C255" t="str">
            <v>686.82</v>
          </cell>
          <cell r="D255" t="str">
            <v>Honorare Veranstaltungen Campus</v>
          </cell>
          <cell r="E255">
            <v>50000</v>
          </cell>
          <cell r="F255">
            <v>45570</v>
          </cell>
          <cell r="G255">
            <v>76000</v>
          </cell>
          <cell r="H255">
            <v>10690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row>
        <row r="256">
          <cell r="A256" t="str">
            <v>681.50</v>
          </cell>
          <cell r="B256">
            <v>251</v>
          </cell>
          <cell r="C256" t="str">
            <v>686.83</v>
          </cell>
          <cell r="D256" t="str">
            <v>Bewirtung und Repräsentation Campus</v>
          </cell>
          <cell r="E256">
            <v>8000</v>
          </cell>
          <cell r="F256">
            <v>265.37</v>
          </cell>
          <cell r="G256">
            <v>7000</v>
          </cell>
          <cell r="H256">
            <v>1652.83</v>
          </cell>
          <cell r="I256">
            <v>7000</v>
          </cell>
          <cell r="J256">
            <v>1557.85</v>
          </cell>
          <cell r="K256">
            <v>1805.96</v>
          </cell>
          <cell r="L256">
            <v>2689.34</v>
          </cell>
          <cell r="M256">
            <v>2689.34</v>
          </cell>
          <cell r="N256">
            <v>2689.34</v>
          </cell>
          <cell r="O256">
            <v>2895.46</v>
          </cell>
          <cell r="P256">
            <v>3547.42</v>
          </cell>
          <cell r="Q256">
            <v>4624.2299999999996</v>
          </cell>
          <cell r="R256">
            <v>4624.2299999999996</v>
          </cell>
          <cell r="S256">
            <v>4670.67</v>
          </cell>
          <cell r="T256">
            <v>0</v>
          </cell>
          <cell r="U256">
            <v>0</v>
          </cell>
          <cell r="V256">
            <v>0</v>
          </cell>
          <cell r="W256">
            <v>0</v>
          </cell>
        </row>
        <row r="257">
          <cell r="A257" t="str">
            <v>681.60</v>
          </cell>
          <cell r="B257">
            <v>252</v>
          </cell>
          <cell r="C257" t="str">
            <v>686.13</v>
          </cell>
          <cell r="D257" t="str">
            <v>Allg. Betrieb Interessengruppen</v>
          </cell>
          <cell r="E257">
            <v>200</v>
          </cell>
          <cell r="F257">
            <v>150</v>
          </cell>
          <cell r="G257">
            <v>500</v>
          </cell>
          <cell r="H257">
            <v>150</v>
          </cell>
          <cell r="I257">
            <v>150</v>
          </cell>
          <cell r="J257">
            <v>0</v>
          </cell>
          <cell r="K257">
            <v>0</v>
          </cell>
          <cell r="L257">
            <v>100</v>
          </cell>
          <cell r="M257">
            <v>100</v>
          </cell>
          <cell r="N257">
            <v>100</v>
          </cell>
          <cell r="O257">
            <v>100</v>
          </cell>
          <cell r="P257">
            <v>150</v>
          </cell>
          <cell r="Q257">
            <v>150</v>
          </cell>
          <cell r="R257">
            <v>150</v>
          </cell>
          <cell r="S257">
            <v>150</v>
          </cell>
          <cell r="T257">
            <v>0</v>
          </cell>
          <cell r="U257">
            <v>0</v>
          </cell>
          <cell r="V257">
            <v>0</v>
          </cell>
          <cell r="W257">
            <v>0</v>
          </cell>
        </row>
        <row r="258">
          <cell r="A258" t="str">
            <v>681.70</v>
          </cell>
          <cell r="B258">
            <v>253</v>
          </cell>
          <cell r="C258" t="str">
            <v>686.16</v>
          </cell>
          <cell r="D258" t="str">
            <v>Rechtsangelegenheiten Interessengruppen</v>
          </cell>
          <cell r="E258">
            <v>200</v>
          </cell>
          <cell r="F258">
            <v>0</v>
          </cell>
          <cell r="G258">
            <v>200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row>
        <row r="259">
          <cell r="A259" t="str">
            <v>681.80</v>
          </cell>
          <cell r="B259">
            <v>254</v>
          </cell>
          <cell r="C259" t="str">
            <v>686.84, 686.23, 686.26</v>
          </cell>
          <cell r="D259" t="str">
            <v>Sonstige</v>
          </cell>
          <cell r="E259">
            <v>900</v>
          </cell>
          <cell r="F259">
            <v>0</v>
          </cell>
          <cell r="G259">
            <v>500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row>
        <row r="260">
          <cell r="B260">
            <v>255</v>
          </cell>
          <cell r="H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row>
        <row r="261">
          <cell r="A261" t="str">
            <v>685 00</v>
          </cell>
          <cell r="B261">
            <v>256</v>
          </cell>
          <cell r="C261">
            <v>0</v>
          </cell>
          <cell r="D261" t="str">
            <v>Vereins- und Verbandsmitgliedschaften</v>
          </cell>
          <cell r="E261">
            <v>3289.02</v>
          </cell>
          <cell r="F261">
            <v>3289.02</v>
          </cell>
          <cell r="G261">
            <v>3375</v>
          </cell>
          <cell r="H261">
            <v>2390.73</v>
          </cell>
          <cell r="I261">
            <v>3600</v>
          </cell>
          <cell r="J261">
            <v>0</v>
          </cell>
          <cell r="K261">
            <v>0</v>
          </cell>
          <cell r="L261">
            <v>25</v>
          </cell>
          <cell r="M261">
            <v>25</v>
          </cell>
          <cell r="N261">
            <v>25</v>
          </cell>
          <cell r="O261">
            <v>25</v>
          </cell>
          <cell r="P261">
            <v>25</v>
          </cell>
          <cell r="Q261">
            <v>25</v>
          </cell>
          <cell r="R261">
            <v>25</v>
          </cell>
          <cell r="S261">
            <v>25</v>
          </cell>
          <cell r="T261">
            <v>0</v>
          </cell>
          <cell r="U261">
            <v>0</v>
          </cell>
          <cell r="V261">
            <v>0</v>
          </cell>
          <cell r="W261">
            <v>0</v>
          </cell>
        </row>
        <row r="262">
          <cell r="A262" t="str">
            <v>685.10</v>
          </cell>
          <cell r="B262">
            <v>257</v>
          </cell>
          <cell r="C262" t="str">
            <v>686.17</v>
          </cell>
          <cell r="D262" t="str">
            <v>LAT NRW</v>
          </cell>
          <cell r="E262">
            <v>3264.02</v>
          </cell>
          <cell r="F262">
            <v>3264.02</v>
          </cell>
          <cell r="G262">
            <v>3300</v>
          </cell>
          <cell r="H262">
            <v>2365.73</v>
          </cell>
          <cell r="I262">
            <v>3500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row>
        <row r="263">
          <cell r="A263" t="str">
            <v>685.20</v>
          </cell>
          <cell r="B263">
            <v>258</v>
          </cell>
          <cell r="C263" t="str">
            <v>686.18</v>
          </cell>
          <cell r="D263" t="str">
            <v>DJH, DAAD</v>
          </cell>
          <cell r="E263">
            <v>25</v>
          </cell>
          <cell r="F263">
            <v>25</v>
          </cell>
          <cell r="G263">
            <v>75</v>
          </cell>
          <cell r="H263">
            <v>25</v>
          </cell>
          <cell r="I263">
            <v>100</v>
          </cell>
          <cell r="J263">
            <v>0</v>
          </cell>
          <cell r="K263">
            <v>0</v>
          </cell>
          <cell r="L263">
            <v>25</v>
          </cell>
          <cell r="M263">
            <v>25</v>
          </cell>
          <cell r="N263">
            <v>25</v>
          </cell>
          <cell r="O263">
            <v>25</v>
          </cell>
          <cell r="P263">
            <v>25</v>
          </cell>
          <cell r="Q263">
            <v>25</v>
          </cell>
          <cell r="R263">
            <v>25</v>
          </cell>
          <cell r="S263">
            <v>25</v>
          </cell>
          <cell r="T263">
            <v>0</v>
          </cell>
          <cell r="U263">
            <v>0</v>
          </cell>
          <cell r="V263">
            <v>0</v>
          </cell>
          <cell r="W263">
            <v>0</v>
          </cell>
        </row>
        <row r="264">
          <cell r="B264">
            <v>259</v>
          </cell>
          <cell r="H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row>
        <row r="265">
          <cell r="A265" t="str">
            <v>690.00</v>
          </cell>
          <cell r="B265">
            <v>260</v>
          </cell>
          <cell r="C265">
            <v>0</v>
          </cell>
          <cell r="D265" t="str">
            <v>BHS-GmbH</v>
          </cell>
          <cell r="E265">
            <v>100000</v>
          </cell>
          <cell r="F265">
            <v>100000</v>
          </cell>
          <cell r="G265">
            <v>125000</v>
          </cell>
          <cell r="H265">
            <v>125000</v>
          </cell>
          <cell r="I265">
            <v>200000</v>
          </cell>
          <cell r="J265">
            <v>16666</v>
          </cell>
          <cell r="K265">
            <v>33332</v>
          </cell>
          <cell r="L265">
            <v>33332</v>
          </cell>
          <cell r="M265">
            <v>66664</v>
          </cell>
          <cell r="N265">
            <v>83330</v>
          </cell>
          <cell r="O265">
            <v>99996.000000000015</v>
          </cell>
          <cell r="P265">
            <v>116662</v>
          </cell>
          <cell r="Q265">
            <v>133328</v>
          </cell>
          <cell r="R265">
            <v>149994</v>
          </cell>
          <cell r="S265">
            <v>166660</v>
          </cell>
          <cell r="T265">
            <v>0</v>
          </cell>
          <cell r="U265">
            <v>0</v>
          </cell>
          <cell r="V265">
            <v>0</v>
          </cell>
          <cell r="W265">
            <v>0</v>
          </cell>
        </row>
        <row r="266">
          <cell r="A266" t="str">
            <v>685.10</v>
          </cell>
          <cell r="B266">
            <v>261</v>
          </cell>
          <cell r="C266" t="str">
            <v>690.00 (x0,685)</v>
          </cell>
          <cell r="D266" t="str">
            <v>Ausgleich negativer Cashflow</v>
          </cell>
          <cell r="E266">
            <v>68430.649999999994</v>
          </cell>
          <cell r="F266">
            <v>100000</v>
          </cell>
          <cell r="G266">
            <v>46492.17</v>
          </cell>
          <cell r="H266">
            <v>85625</v>
          </cell>
          <cell r="I266">
            <v>45000</v>
          </cell>
          <cell r="J266">
            <v>11416.210000000001</v>
          </cell>
          <cell r="K266">
            <v>22832.420000000002</v>
          </cell>
          <cell r="L266">
            <v>22832.420000000002</v>
          </cell>
          <cell r="M266">
            <v>45664.840000000004</v>
          </cell>
          <cell r="N266">
            <v>57081.05</v>
          </cell>
          <cell r="O266">
            <v>68497.260000000009</v>
          </cell>
          <cell r="P266">
            <v>79913.47</v>
          </cell>
          <cell r="Q266">
            <v>91329.680000000008</v>
          </cell>
          <cell r="R266">
            <v>102745.89000000001</v>
          </cell>
          <cell r="S266">
            <v>114162.1</v>
          </cell>
          <cell r="T266">
            <v>0</v>
          </cell>
          <cell r="U266">
            <v>0</v>
          </cell>
          <cell r="V266">
            <v>0</v>
          </cell>
          <cell r="W266">
            <v>0</v>
          </cell>
        </row>
        <row r="267">
          <cell r="A267" t="str">
            <v>685.20</v>
          </cell>
          <cell r="B267">
            <v>262</v>
          </cell>
          <cell r="C267" t="str">
            <v>690.00 (x0,315)</v>
          </cell>
          <cell r="D267" t="str">
            <v>Maßnahmen BHS</v>
          </cell>
          <cell r="E267">
            <v>31569.35</v>
          </cell>
          <cell r="F267">
            <v>0</v>
          </cell>
          <cell r="G267">
            <v>78507.83</v>
          </cell>
          <cell r="H267">
            <v>39375</v>
          </cell>
          <cell r="I267">
            <v>155000</v>
          </cell>
          <cell r="J267">
            <v>5249.79</v>
          </cell>
          <cell r="K267">
            <v>10499.58</v>
          </cell>
          <cell r="L267">
            <v>10499.58</v>
          </cell>
          <cell r="M267">
            <v>20999.16</v>
          </cell>
          <cell r="N267">
            <v>26248.95</v>
          </cell>
          <cell r="O267">
            <v>31498.74</v>
          </cell>
          <cell r="P267">
            <v>36748.53</v>
          </cell>
          <cell r="Q267">
            <v>41998.32</v>
          </cell>
          <cell r="R267">
            <v>47248.11</v>
          </cell>
          <cell r="S267">
            <v>52497.9</v>
          </cell>
          <cell r="T267">
            <v>0</v>
          </cell>
          <cell r="U267">
            <v>0</v>
          </cell>
          <cell r="V267">
            <v>0</v>
          </cell>
          <cell r="W267">
            <v>0</v>
          </cell>
        </row>
        <row r="268">
          <cell r="B268">
            <v>263</v>
          </cell>
          <cell r="H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row>
        <row r="269">
          <cell r="A269" t="str">
            <v>Plan 8</v>
          </cell>
          <cell r="B269">
            <v>264</v>
          </cell>
          <cell r="C269">
            <v>0</v>
          </cell>
          <cell r="D269" t="str">
            <v>Darlehen</v>
          </cell>
          <cell r="E269">
            <v>11500</v>
          </cell>
          <cell r="F269">
            <v>950</v>
          </cell>
          <cell r="G269">
            <v>16500</v>
          </cell>
          <cell r="H269">
            <v>2500</v>
          </cell>
          <cell r="I269">
            <v>6000</v>
          </cell>
          <cell r="J269">
            <v>0</v>
          </cell>
          <cell r="K269">
            <v>0</v>
          </cell>
          <cell r="L269">
            <v>0</v>
          </cell>
          <cell r="M269">
            <v>0</v>
          </cell>
          <cell r="N269">
            <v>0</v>
          </cell>
          <cell r="O269">
            <v>0</v>
          </cell>
          <cell r="P269">
            <v>0</v>
          </cell>
          <cell r="Q269">
            <v>0</v>
          </cell>
          <cell r="R269">
            <v>1000</v>
          </cell>
          <cell r="S269">
            <v>1000</v>
          </cell>
          <cell r="T269">
            <v>0</v>
          </cell>
          <cell r="U269">
            <v>0</v>
          </cell>
          <cell r="V269">
            <v>0</v>
          </cell>
          <cell r="W269">
            <v>0</v>
          </cell>
        </row>
        <row r="270">
          <cell r="A270" t="str">
            <v>860.00</v>
          </cell>
          <cell r="B270">
            <v>265</v>
          </cell>
          <cell r="C270">
            <v>0</v>
          </cell>
          <cell r="D270" t="str">
            <v>Studierende</v>
          </cell>
          <cell r="E270">
            <v>11500</v>
          </cell>
          <cell r="F270">
            <v>950</v>
          </cell>
          <cell r="G270">
            <v>16500</v>
          </cell>
          <cell r="H270">
            <v>2500</v>
          </cell>
          <cell r="I270">
            <v>6000</v>
          </cell>
          <cell r="J270">
            <v>0</v>
          </cell>
          <cell r="K270">
            <v>0</v>
          </cell>
          <cell r="L270">
            <v>0</v>
          </cell>
          <cell r="M270">
            <v>0</v>
          </cell>
          <cell r="N270">
            <v>0</v>
          </cell>
          <cell r="O270">
            <v>0</v>
          </cell>
          <cell r="P270">
            <v>0</v>
          </cell>
          <cell r="Q270">
            <v>0</v>
          </cell>
          <cell r="R270">
            <v>1000</v>
          </cell>
          <cell r="S270">
            <v>1000</v>
          </cell>
          <cell r="T270">
            <v>0</v>
          </cell>
          <cell r="U270">
            <v>0</v>
          </cell>
          <cell r="V270">
            <v>0</v>
          </cell>
          <cell r="W270">
            <v>0</v>
          </cell>
        </row>
        <row r="271">
          <cell r="A271" t="str">
            <v>860.10</v>
          </cell>
          <cell r="B271">
            <v>266</v>
          </cell>
          <cell r="C271" t="str">
            <v>860.00</v>
          </cell>
          <cell r="D271" t="str">
            <v>Allgemeine Darlehen</v>
          </cell>
          <cell r="E271">
            <v>10000</v>
          </cell>
          <cell r="F271">
            <v>950</v>
          </cell>
          <cell r="G271">
            <v>15000</v>
          </cell>
          <cell r="H271">
            <v>2500</v>
          </cell>
          <cell r="I271">
            <v>5000</v>
          </cell>
          <cell r="J271">
            <v>0</v>
          </cell>
          <cell r="K271">
            <v>0</v>
          </cell>
          <cell r="L271">
            <v>0</v>
          </cell>
          <cell r="M271">
            <v>0</v>
          </cell>
          <cell r="N271">
            <v>0</v>
          </cell>
          <cell r="O271">
            <v>0</v>
          </cell>
          <cell r="P271">
            <v>0</v>
          </cell>
          <cell r="Q271">
            <v>0</v>
          </cell>
          <cell r="R271">
            <v>1000</v>
          </cell>
          <cell r="S271">
            <v>1000</v>
          </cell>
          <cell r="T271">
            <v>0</v>
          </cell>
          <cell r="U271">
            <v>0</v>
          </cell>
          <cell r="V271">
            <v>0</v>
          </cell>
          <cell r="W271">
            <v>0</v>
          </cell>
        </row>
        <row r="272">
          <cell r="A272" t="str">
            <v>860.20</v>
          </cell>
          <cell r="B272">
            <v>267</v>
          </cell>
          <cell r="C272" t="str">
            <v>861.00</v>
          </cell>
          <cell r="D272" t="str">
            <v>Internationalisierungsdarlehen</v>
          </cell>
          <cell r="E272">
            <v>1500</v>
          </cell>
          <cell r="F272">
            <v>0</v>
          </cell>
          <cell r="G272">
            <v>1500</v>
          </cell>
          <cell r="H272">
            <v>0</v>
          </cell>
          <cell r="I272">
            <v>1000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B273">
            <v>268</v>
          </cell>
          <cell r="H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row>
        <row r="274">
          <cell r="A274" t="str">
            <v>Plan 9</v>
          </cell>
          <cell r="B274">
            <v>269</v>
          </cell>
          <cell r="C274">
            <v>0</v>
          </cell>
          <cell r="D274" t="str">
            <v>Rücklagen</v>
          </cell>
          <cell r="E274">
            <v>60000</v>
          </cell>
          <cell r="F274">
            <v>60000</v>
          </cell>
          <cell r="G274">
            <v>0</v>
          </cell>
          <cell r="H274">
            <v>0</v>
          </cell>
          <cell r="I274">
            <v>4611.32</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row>
        <row r="275">
          <cell r="A275" t="str">
            <v>919 00</v>
          </cell>
          <cell r="B275">
            <v>270</v>
          </cell>
          <cell r="C275">
            <v>0</v>
          </cell>
          <cell r="D275" t="str">
            <v>Zuführung zu Rücklagen</v>
          </cell>
          <cell r="E275">
            <v>60000</v>
          </cell>
          <cell r="F275">
            <v>60000</v>
          </cell>
          <cell r="G275">
            <v>0</v>
          </cell>
          <cell r="H275">
            <v>0</v>
          </cell>
          <cell r="I275">
            <v>4611.32</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row>
        <row r="276">
          <cell r="A276" t="str">
            <v>919.10</v>
          </cell>
          <cell r="B276">
            <v>271</v>
          </cell>
          <cell r="C276" t="str">
            <v>910.00</v>
          </cell>
          <cell r="D276" t="str">
            <v>Allgemeine Rücklage</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row>
        <row r="277">
          <cell r="A277" t="str">
            <v>919.20</v>
          </cell>
          <cell r="B277">
            <v>272</v>
          </cell>
          <cell r="C277" t="str">
            <v>920.00</v>
          </cell>
          <cell r="D277" t="str">
            <v>Schwankungsrücklage Wahlen</v>
          </cell>
          <cell r="E277">
            <v>60000</v>
          </cell>
          <cell r="F277">
            <v>60000</v>
          </cell>
          <cell r="G277">
            <v>0</v>
          </cell>
          <cell r="H277">
            <v>0</v>
          </cell>
          <cell r="I277">
            <v>4611.32</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t="str">
            <v>919.30</v>
          </cell>
          <cell r="B278">
            <v>273</v>
          </cell>
          <cell r="C278" t="str">
            <v>930.00</v>
          </cell>
          <cell r="D278" t="str">
            <v>Sonstige Rücklagen</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row>
        <row r="279">
          <cell r="B279">
            <v>274</v>
          </cell>
          <cell r="H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row>
        <row r="280">
          <cell r="B280">
            <v>275</v>
          </cell>
          <cell r="D280" t="str">
            <v>Ausgaben Gesamt</v>
          </cell>
          <cell r="E280">
            <v>1479844.02</v>
          </cell>
          <cell r="F280">
            <v>1215421.75</v>
          </cell>
          <cell r="G280">
            <v>1568977.28</v>
          </cell>
          <cell r="H280">
            <v>744412.76</v>
          </cell>
          <cell r="I280">
            <v>1582227.32</v>
          </cell>
          <cell r="J280">
            <v>66071.17</v>
          </cell>
          <cell r="K280">
            <v>133868.62</v>
          </cell>
          <cell r="L280">
            <v>190002.31999999998</v>
          </cell>
          <cell r="M280">
            <v>266880.11</v>
          </cell>
          <cell r="N280">
            <v>335577.87</v>
          </cell>
          <cell r="O280">
            <v>418949.8</v>
          </cell>
          <cell r="P280">
            <v>477765.80000000005</v>
          </cell>
          <cell r="Q280">
            <v>550949.63</v>
          </cell>
          <cell r="R280">
            <v>615570.42000000004</v>
          </cell>
          <cell r="S280">
            <v>667460.21000000008</v>
          </cell>
          <cell r="T280">
            <v>0</v>
          </cell>
          <cell r="U280">
            <v>0</v>
          </cell>
          <cell r="V280">
            <v>0</v>
          </cell>
          <cell r="W280">
            <v>0</v>
          </cell>
        </row>
        <row r="281">
          <cell r="B281">
            <v>276</v>
          </cell>
          <cell r="D281" t="str">
            <v>Einnahmen Gesamt</v>
          </cell>
          <cell r="E281">
            <v>1480000</v>
          </cell>
          <cell r="F281">
            <v>1500919.53</v>
          </cell>
          <cell r="G281">
            <v>1568977.28</v>
          </cell>
          <cell r="H281">
            <v>1433893.8299999998</v>
          </cell>
          <cell r="I281">
            <v>1582227.3199999998</v>
          </cell>
          <cell r="J281">
            <v>937833.09</v>
          </cell>
          <cell r="K281">
            <v>1141388.6199999999</v>
          </cell>
          <cell r="L281">
            <v>1190112.3399999999</v>
          </cell>
          <cell r="M281">
            <v>1211898.24</v>
          </cell>
          <cell r="N281">
            <v>1227973.5</v>
          </cell>
          <cell r="O281">
            <v>1254018.0499999998</v>
          </cell>
          <cell r="P281">
            <v>1513694.5</v>
          </cell>
          <cell r="Q281">
            <v>1726600.16</v>
          </cell>
          <cell r="R281">
            <v>1764119.69</v>
          </cell>
          <cell r="S281">
            <v>1774199.4899999998</v>
          </cell>
          <cell r="T281">
            <v>0</v>
          </cell>
          <cell r="U281">
            <v>0</v>
          </cell>
          <cell r="V281">
            <v>0</v>
          </cell>
          <cell r="W281">
            <v>0</v>
          </cell>
        </row>
        <row r="282">
          <cell r="B282">
            <v>277</v>
          </cell>
          <cell r="D282" t="str">
            <v>Bilanz</v>
          </cell>
          <cell r="E282">
            <v>155.97999999998137</v>
          </cell>
          <cell r="F282">
            <v>285497.78000000003</v>
          </cell>
          <cell r="G282">
            <v>0</v>
          </cell>
          <cell r="H282">
            <v>689481.06999999983</v>
          </cell>
          <cell r="I282">
            <v>0</v>
          </cell>
          <cell r="J282">
            <v>871761.91999999993</v>
          </cell>
          <cell r="K282">
            <v>1007519.9999999999</v>
          </cell>
          <cell r="L282">
            <v>1000110.0199999999</v>
          </cell>
          <cell r="M282">
            <v>945018.13</v>
          </cell>
          <cell r="N282">
            <v>892395.63</v>
          </cell>
          <cell r="O282">
            <v>835068.24999999977</v>
          </cell>
          <cell r="P282">
            <v>1035928.7</v>
          </cell>
          <cell r="Q282">
            <v>1175650.5299999998</v>
          </cell>
          <cell r="R282">
            <v>1148549.27</v>
          </cell>
          <cell r="S282">
            <v>1106739.2799999998</v>
          </cell>
          <cell r="T282">
            <v>0</v>
          </cell>
          <cell r="U282">
            <v>0</v>
          </cell>
          <cell r="V282">
            <v>0</v>
          </cell>
          <cell r="W28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Wi"/>
    </sheetNames>
    <sheetDataSet>
      <sheetData sheetId="0" refreshError="1">
        <row r="5">
          <cell r="E5">
            <v>56381</v>
          </cell>
          <cell r="G5">
            <v>23000</v>
          </cell>
        </row>
        <row r="6">
          <cell r="G6">
            <v>0</v>
          </cell>
        </row>
        <row r="7">
          <cell r="G7">
            <v>0</v>
          </cell>
        </row>
        <row r="11">
          <cell r="G11">
            <v>10400</v>
          </cell>
        </row>
        <row r="12">
          <cell r="G12">
            <v>14000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ushalt"/>
      <sheetName val="HHJ_2021_2022"/>
      <sheetName val="HHJ_2022_2023"/>
      <sheetName val="Aufwandsentschädigungen"/>
      <sheetName val="Stellenplan"/>
      <sheetName val="Mieten und Lizenzen"/>
      <sheetName val="Anschaffungsplan+BHS"/>
      <sheetName val="Referatspläne"/>
      <sheetName val="Leistungen Dritter"/>
      <sheetName val="WiWi"/>
      <sheetName val="KSW"/>
      <sheetName val="PSY"/>
      <sheetName val="ReWi"/>
      <sheetName val="M_I"/>
      <sheetName val="Auswertungen_neuer_Haushalt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5:V282" totalsRowShown="0" headerRowDxfId="1555">
  <autoFilter ref="A5:V282" xr:uid="{00000000-0009-0000-0100-000001000000}"/>
  <tableColumns count="22">
    <tableColumn id="1" xr3:uid="{00000000-0010-0000-0000-000001000000}" name="Titel" dataDxfId="1554"/>
    <tableColumn id="10" xr3:uid="{00000000-0010-0000-0000-00000A000000}" name="Spalte1" dataDxfId="1553">
      <calculatedColumnFormula>ROW(B1)</calculatedColumnFormula>
    </tableColumn>
    <tableColumn id="19" xr3:uid="{00000000-0010-0000-0000-000013000000}" name="Datev SKR 42" dataDxfId="1552"/>
    <tableColumn id="20" xr3:uid="{00000000-0010-0000-0000-000014000000}" name="Sphäre" dataDxfId="1551"/>
    <tableColumn id="21" xr3:uid="{00000000-0010-0000-0000-000015000000}" name="Bereich/OE" dataDxfId="1550"/>
    <tableColumn id="18" xr3:uid="{00000000-0010-0000-0000-000012000000}" name="Sachkonten Fibu" dataDxfId="1549"/>
    <tableColumn id="2" xr3:uid="{00000000-0010-0000-0000-000002000000}" name="Titel alt"/>
    <tableColumn id="3" xr3:uid="{00000000-0010-0000-0000-000003000000}" name="Kontenbezeichnung"/>
    <tableColumn id="15" xr3:uid="{00000000-0010-0000-0000-00000F000000}" name="SOLL HHJ 24-25"/>
    <tableColumn id="17" xr3:uid="{00000000-0010-0000-0000-000011000000}" name="Nachtrag HHJ 23-24"/>
    <tableColumn id="16" xr3:uid="{00000000-0010-0000-0000-000010000000}" name="IST HHJ 23-24" dataDxfId="1548"/>
    <tableColumn id="13" xr3:uid="{00000000-0010-0000-0000-00000D000000}" name="SOLL HHJ 23-24"/>
    <tableColumn id="14" xr3:uid="{00000000-0010-0000-0000-00000E000000}" name="IST HHJ 22-23 "/>
    <tableColumn id="24" xr3:uid="{00000000-0010-0000-0000-000018000000}" name="SOLL HHJ 22-23"/>
    <tableColumn id="4" xr3:uid="{00000000-0010-0000-0000-000004000000}" name="SOLL HHJ 21-22" dataDxfId="1547"/>
    <tableColumn id="8" xr3:uid="{00000000-0010-0000-0000-000008000000}" name="IST HHJ 21-22" dataDxfId="1546"/>
    <tableColumn id="7" xr3:uid="{00000000-0010-0000-0000-000007000000}" name="SOLL 20-21" dataDxfId="1545"/>
    <tableColumn id="6" xr3:uid="{00000000-0010-0000-0000-000006000000}" name="IST 20-21" dataDxfId="1544"/>
    <tableColumn id="11" xr3:uid="{00000000-0010-0000-0000-00000B000000}" name="IST HHJ 22-23_x000a_31.10.2022" dataDxfId="1543">
      <calculatedColumnFormula>SUBTOTAL(9,S7:S8)</calculatedColumnFormula>
    </tableColumn>
    <tableColumn id="5" xr3:uid="{00000000-0010-0000-0000-000005000000}" name="IST HHJ 22-23_x000a_30.11.2022" dataDxfId="1542"/>
    <tableColumn id="12" xr3:uid="{00000000-0010-0000-0000-00000C000000}" name="IST HHJ 22-23_x000a_15.12.2022"/>
    <tableColumn id="9" xr3:uid="{00000000-0010-0000-0000-000009000000}" name="Spalte2" dataDxfId="1541"/>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2" displayName="Tabelle2" ref="Q13:T19" totalsRowCount="1" headerRowDxfId="1540" headerRowBorderDxfId="1539" tableBorderDxfId="1538" totalsRowBorderDxfId="1537">
  <autoFilter ref="Q13:T18" xr:uid="{00000000-0009-0000-0100-000002000000}"/>
  <tableColumns count="4">
    <tableColumn id="1" xr3:uid="{00000000-0010-0000-0100-000001000000}" name="Nr." totalsRowLabel="Gesamt" totalsRowDxfId="1536"/>
    <tableColumn id="2" xr3:uid="{00000000-0010-0000-0100-000002000000}" name="Betrag" totalsRowFunction="sum" dataDxfId="1535" totalsRowDxfId="1534"/>
    <tableColumn id="3" xr3:uid="{00000000-0010-0000-0100-000003000000}" name="Was?" dataDxfId="1533" totalsRowDxfId="1532"/>
    <tableColumn id="4" xr3:uid="{00000000-0010-0000-0100-000004000000}" name="Begründung" totalsRowFunction="count" dataDxfId="1531" totalsRowDxfId="1530"/>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28" displayName="Tabelle28" ref="Q4:T10" totalsRowCount="1" headerRowDxfId="1529" headerRowBorderDxfId="1528" tableBorderDxfId="1527" totalsRowBorderDxfId="1526">
  <autoFilter ref="Q4:T9" xr:uid="{00000000-0009-0000-0100-000007000000}"/>
  <tableColumns count="4">
    <tableColumn id="1" xr3:uid="{00000000-0010-0000-0200-000001000000}" name="Nr." totalsRowLabel="Gesamt" totalsRowDxfId="1525"/>
    <tableColumn id="2" xr3:uid="{00000000-0010-0000-0200-000002000000}" name="Betrag" totalsRowFunction="sum" dataDxfId="1524" totalsRowDxfId="1523"/>
    <tableColumn id="3" xr3:uid="{00000000-0010-0000-0200-000003000000}" name="Was?" dataDxfId="1522" totalsRowDxfId="1521"/>
    <tableColumn id="4" xr3:uid="{00000000-0010-0000-0200-000004000000}" name="Begründung" totalsRowFunction="count" dataDxfId="1520" totalsRowDxfId="1519"/>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Tabelle2111216" displayName="Tabelle2111216" ref="Q22:T28" totalsRowCount="1" headerRowDxfId="1518" headerRowBorderDxfId="1517" tableBorderDxfId="1516" totalsRowBorderDxfId="1515">
  <autoFilter ref="Q22:T27" xr:uid="{00000000-0009-0000-0100-00000F000000}"/>
  <tableColumns count="4">
    <tableColumn id="1" xr3:uid="{00000000-0010-0000-0300-000001000000}" name="Nr." totalsRowLabel="Gesamt" totalsRowDxfId="1514"/>
    <tableColumn id="2" xr3:uid="{00000000-0010-0000-0300-000002000000}" name="Betrag" totalsRowFunction="sum" dataDxfId="1513" totalsRowDxfId="1512"/>
    <tableColumn id="3" xr3:uid="{00000000-0010-0000-0300-000003000000}" name="Was?" dataDxfId="1511" totalsRowDxfId="1510"/>
    <tableColumn id="4" xr3:uid="{00000000-0010-0000-0300-000004000000}" name="Begründung" totalsRowFunction="count" dataDxfId="1509" totalsRowDxfId="1508"/>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04000000}" name="Tabelle2111239" displayName="Tabelle2111239" ref="Q32:T38" totalsRowCount="1" headerRowDxfId="1507" headerRowBorderDxfId="1506" tableBorderDxfId="1505" totalsRowBorderDxfId="1504">
  <autoFilter ref="Q32:T37" xr:uid="{00000000-0009-0000-0100-000026000000}"/>
  <tableColumns count="4">
    <tableColumn id="1" xr3:uid="{00000000-0010-0000-0400-000001000000}" name="Nr." totalsRowLabel="Gesamt" totalsRowDxfId="1503"/>
    <tableColumn id="2" xr3:uid="{00000000-0010-0000-0400-000002000000}" name="Betrag" totalsRowFunction="sum" dataDxfId="1502" totalsRowDxfId="1501"/>
    <tableColumn id="3" xr3:uid="{00000000-0010-0000-0400-000003000000}" name="Was?" dataDxfId="1500" totalsRowDxfId="1499"/>
    <tableColumn id="4" xr3:uid="{00000000-0010-0000-0400-000004000000}" name="Begründung" totalsRowFunction="count" dataDxfId="1498" totalsRowDxfId="1497"/>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05000000}" name="Tabelle252" displayName="Tabelle252" ref="L13:O19" totalsRowCount="1" headerRowDxfId="1496" headerRowBorderDxfId="1495" tableBorderDxfId="1494" totalsRowBorderDxfId="1493">
  <autoFilter ref="L13:O18" xr:uid="{00000000-0009-0000-0100-000033000000}"/>
  <tableColumns count="4">
    <tableColumn id="1" xr3:uid="{00000000-0010-0000-0500-000001000000}" name="Nr." totalsRowLabel="Gesamt" totalsRowDxfId="1492"/>
    <tableColumn id="2" xr3:uid="{00000000-0010-0000-0500-000002000000}" name="Betrag" totalsRowFunction="sum" dataDxfId="1491" totalsRowDxfId="1490"/>
    <tableColumn id="3" xr3:uid="{00000000-0010-0000-0500-000003000000}" name="Was?" dataDxfId="1489" totalsRowDxfId="1488"/>
    <tableColumn id="4" xr3:uid="{00000000-0010-0000-0500-000004000000}" name="Begründung" totalsRowFunction="count" dataDxfId="1487" totalsRowDxfId="1486"/>
  </tableColumns>
  <tableStyleInfo name="TableStyleLight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06000000}" name="Tabelle2853" displayName="Tabelle2853" ref="L4:O10" totalsRowCount="1" headerRowDxfId="1485" headerRowBorderDxfId="1484" tableBorderDxfId="1483" totalsRowBorderDxfId="1482">
  <autoFilter ref="L4:O9" xr:uid="{00000000-0009-0000-0100-000034000000}"/>
  <tableColumns count="4">
    <tableColumn id="1" xr3:uid="{00000000-0010-0000-0600-000001000000}" name="Nr." totalsRowLabel="Gesamt" totalsRowDxfId="1481"/>
    <tableColumn id="2" xr3:uid="{00000000-0010-0000-0600-000002000000}" name="Betrag" totalsRowFunction="sum" dataDxfId="1480" totalsRowDxfId="1479"/>
    <tableColumn id="3" xr3:uid="{00000000-0010-0000-0600-000003000000}" name="Was?" dataDxfId="1478" totalsRowDxfId="1477"/>
    <tableColumn id="4" xr3:uid="{00000000-0010-0000-0600-000004000000}" name="Begründung" totalsRowFunction="count" dataDxfId="1476" totalsRowDxfId="1475"/>
  </tableColumns>
  <tableStyleInfo name="TableStyleLight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07000000}" name="Tabelle211121656" displayName="Tabelle211121656" ref="L22:O28" totalsRowCount="1" headerRowDxfId="1474" headerRowBorderDxfId="1473" tableBorderDxfId="1472" totalsRowBorderDxfId="1471">
  <autoFilter ref="L22:O27" xr:uid="{00000000-0009-0000-0100-000037000000}"/>
  <tableColumns count="4">
    <tableColumn id="1" xr3:uid="{00000000-0010-0000-0700-000001000000}" name="Nr." totalsRowLabel="Gesamt" totalsRowDxfId="1470"/>
    <tableColumn id="2" xr3:uid="{00000000-0010-0000-0700-000002000000}" name="Betrag" totalsRowFunction="sum" dataDxfId="1469" totalsRowDxfId="1468"/>
    <tableColumn id="3" xr3:uid="{00000000-0010-0000-0700-000003000000}" name="Was?" dataDxfId="1467" totalsRowDxfId="1466"/>
    <tableColumn id="4" xr3:uid="{00000000-0010-0000-0700-000004000000}" name="Begründung" totalsRowFunction="count" dataDxfId="1465" totalsRowDxfId="1464"/>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08000000}" name="Tabelle211123957" displayName="Tabelle211123957" ref="L32:O37" totalsRowCount="1" headerRowDxfId="1463" headerRowBorderDxfId="1462" tableBorderDxfId="1461" totalsRowBorderDxfId="1460">
  <autoFilter ref="L32:O36" xr:uid="{00000000-0009-0000-0100-000038000000}"/>
  <tableColumns count="4">
    <tableColumn id="1" xr3:uid="{00000000-0010-0000-0800-000001000000}" name="Nr." totalsRowLabel="Gesamt" totalsRowDxfId="1459"/>
    <tableColumn id="2" xr3:uid="{00000000-0010-0000-0800-000002000000}" name="Betrag" totalsRowFunction="sum" dataDxfId="1458" totalsRowDxfId="1457"/>
    <tableColumn id="3" xr3:uid="{00000000-0010-0000-0800-000003000000}" name="Was?" dataDxfId="1456" totalsRowDxfId="1455"/>
    <tableColumn id="4" xr3:uid="{00000000-0010-0000-0800-000004000000}" name="Begründung" totalsRowFunction="count" dataDxfId="1454" totalsRowDxfId="1453"/>
  </tableColumns>
  <tableStyleInfo name="TableStyleLight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elle25212" displayName="Tabelle25212" ref="G13:J19" totalsRowCount="1" headerRowDxfId="1452" headerRowBorderDxfId="1451" tableBorderDxfId="1450" totalsRowBorderDxfId="1449">
  <autoFilter ref="G13:J18" xr:uid="{00000000-0009-0000-0100-00000B000000}"/>
  <tableColumns count="4">
    <tableColumn id="1" xr3:uid="{00000000-0010-0000-0900-000001000000}" name="Nr." totalsRowLabel="Gesamt" totalsRowDxfId="1448"/>
    <tableColumn id="2" xr3:uid="{00000000-0010-0000-0900-000002000000}" name="Betrag" totalsRowFunction="sum" dataDxfId="1447" totalsRowDxfId="1446"/>
    <tableColumn id="3" xr3:uid="{00000000-0010-0000-0900-000003000000}" name="Was?" dataDxfId="1445" totalsRowDxfId="1444"/>
    <tableColumn id="4" xr3:uid="{00000000-0010-0000-0900-000004000000}" name="Begründung" totalsRowFunction="count" dataDxfId="1443" totalsRowDxfId="1442"/>
  </tableColumns>
  <tableStyleInfo name="TableStyleLight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A000000}" name="Tabelle285319" displayName="Tabelle285319" ref="G4:J10" totalsRowCount="1" headerRowDxfId="1441" headerRowBorderDxfId="1440" tableBorderDxfId="1439" totalsRowBorderDxfId="1438">
  <autoFilter ref="G4:J9" xr:uid="{00000000-0009-0000-0100-000012000000}"/>
  <tableColumns count="4">
    <tableColumn id="1" xr3:uid="{00000000-0010-0000-0A00-000001000000}" name="Nr." totalsRowLabel="Gesamt" totalsRowDxfId="1437"/>
    <tableColumn id="2" xr3:uid="{00000000-0010-0000-0A00-000002000000}" name="Betrag" totalsRowFunction="sum" dataDxfId="1436" totalsRowDxfId="1435"/>
    <tableColumn id="3" xr3:uid="{00000000-0010-0000-0A00-000003000000}" name="Was?" dataDxfId="1434" totalsRowDxfId="1433"/>
    <tableColumn id="4" xr3:uid="{00000000-0010-0000-0A00-000004000000}" name="Begründung" totalsRowFunction="count" dataDxfId="1432" totalsRowDxfId="1431"/>
  </tableColumns>
  <tableStyleInfo name="TableStyleLight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B000000}" name="Tabelle21112165635" displayName="Tabelle21112165635" ref="G22:J28" totalsRowCount="1" headerRowDxfId="1430" headerRowBorderDxfId="1429" tableBorderDxfId="1428" totalsRowBorderDxfId="1427">
  <autoFilter ref="G22:J27" xr:uid="{00000000-0009-0000-0100-000022000000}"/>
  <tableColumns count="4">
    <tableColumn id="1" xr3:uid="{00000000-0010-0000-0B00-000001000000}" name="Nr." totalsRowLabel="Gesamt" totalsRowDxfId="1426"/>
    <tableColumn id="2" xr3:uid="{00000000-0010-0000-0B00-000002000000}" name="Betrag" totalsRowFunction="sum" dataDxfId="1425" totalsRowDxfId="1424"/>
    <tableColumn id="3" xr3:uid="{00000000-0010-0000-0B00-000003000000}" name="Was?" dataDxfId="1423" totalsRowDxfId="1422"/>
    <tableColumn id="4" xr3:uid="{00000000-0010-0000-0B00-000004000000}" name="Begründung" totalsRowFunction="count" dataDxfId="1421" totalsRowDxfId="1420"/>
  </tableColumns>
  <tableStyleInfo name="TableStyleLight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C000000}" name="Tabelle21112395736" displayName="Tabelle21112395736" ref="G32:J37" totalsRowCount="1" headerRowDxfId="1419" headerRowBorderDxfId="1418" tableBorderDxfId="1417" totalsRowBorderDxfId="1416">
  <autoFilter ref="G32:J36" xr:uid="{00000000-0009-0000-0100-000023000000}"/>
  <tableColumns count="4">
    <tableColumn id="1" xr3:uid="{00000000-0010-0000-0C00-000001000000}" name="Nr." totalsRowLabel="Gesamt" totalsRowDxfId="1415"/>
    <tableColumn id="2" xr3:uid="{00000000-0010-0000-0C00-000002000000}" name="Betrag" totalsRowFunction="sum" dataDxfId="1414" totalsRowDxfId="1413"/>
    <tableColumn id="3" xr3:uid="{00000000-0010-0000-0C00-000003000000}" name="Was?" dataDxfId="1412" totalsRowDxfId="1411"/>
    <tableColumn id="4" xr3:uid="{00000000-0010-0000-0C00-000004000000}" name="Begründung" totalsRowFunction="count" dataDxfId="1410" totalsRowDxfId="1409"/>
  </tableColumns>
  <tableStyleInfo name="TableStyleLight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0D000000}" name="Tabelle2521271" displayName="Tabelle2521271" ref="A13:D19" totalsRowCount="1" headerRowDxfId="1408" headerRowBorderDxfId="1407" tableBorderDxfId="1406" totalsRowBorderDxfId="1405">
  <autoFilter ref="A13:D18" xr:uid="{00000000-0009-0000-0100-000046000000}"/>
  <tableColumns count="4">
    <tableColumn id="1" xr3:uid="{00000000-0010-0000-0D00-000001000000}" name="Nr." totalsRowLabel="Gesamt" totalsRowDxfId="1404"/>
    <tableColumn id="2" xr3:uid="{00000000-0010-0000-0D00-000002000000}" name="Betrag" totalsRowFunction="sum" dataDxfId="1403" totalsRowDxfId="1402"/>
    <tableColumn id="3" xr3:uid="{00000000-0010-0000-0D00-000003000000}" name="Was?" dataDxfId="1401" totalsRowDxfId="1400"/>
    <tableColumn id="4" xr3:uid="{00000000-0010-0000-0D00-000004000000}" name="Begründung" totalsRowFunction="count" dataDxfId="1399" totalsRowDxfId="1398"/>
  </tableColumns>
  <tableStyleInfo name="TableStyleLight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E000000}" name="Tabelle28531972" displayName="Tabelle28531972" ref="A4:D10" totalsRowCount="1" headerRowDxfId="1397" headerRowBorderDxfId="1396" tableBorderDxfId="1395" totalsRowBorderDxfId="1394">
  <autoFilter ref="A4:D9" xr:uid="{00000000-0009-0000-0100-000047000000}"/>
  <tableColumns count="4">
    <tableColumn id="1" xr3:uid="{00000000-0010-0000-0E00-000001000000}" name="Nr." totalsRowLabel="Gesamt" totalsRowDxfId="1393"/>
    <tableColumn id="2" xr3:uid="{00000000-0010-0000-0E00-000002000000}" name="Betrag" totalsRowFunction="sum" dataDxfId="1392" totalsRowDxfId="1391"/>
    <tableColumn id="3" xr3:uid="{00000000-0010-0000-0E00-000003000000}" name="Was?" dataDxfId="1390" totalsRowDxfId="1389"/>
    <tableColumn id="4" xr3:uid="{00000000-0010-0000-0E00-000004000000}" name="Begründung" totalsRowFunction="count" dataDxfId="1388" totalsRowDxfId="1387"/>
  </tableColumns>
  <tableStyleInfo name="TableStyleLight1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0F000000}" name="Tabelle2111216563573" displayName="Tabelle2111216563573" ref="A22:D28" totalsRowCount="1" headerRowDxfId="1386" headerRowBorderDxfId="1385" tableBorderDxfId="1384" totalsRowBorderDxfId="1383">
  <autoFilter ref="A22:D27" xr:uid="{00000000-0009-0000-0100-000048000000}"/>
  <tableColumns count="4">
    <tableColumn id="1" xr3:uid="{00000000-0010-0000-0F00-000001000000}" name="Nr." totalsRowLabel="Gesamt" totalsRowDxfId="1382"/>
    <tableColumn id="2" xr3:uid="{00000000-0010-0000-0F00-000002000000}" name="Betrag" totalsRowFunction="sum" dataDxfId="1381" totalsRowDxfId="1380"/>
    <tableColumn id="3" xr3:uid="{00000000-0010-0000-0F00-000003000000}" name="Was?" dataDxfId="1379" totalsRowDxfId="1378"/>
    <tableColumn id="4" xr3:uid="{00000000-0010-0000-0F00-000004000000}" name="Begründung" totalsRowFunction="count" dataDxfId="1377" totalsRowDxfId="1376"/>
  </tableColumns>
  <tableStyleInfo name="TableStyleLight1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10000000}" name="Tabelle2111239573674" displayName="Tabelle2111239573674" ref="A32:D37" totalsRowCount="1" headerRowDxfId="1375" headerRowBorderDxfId="1374" tableBorderDxfId="1373" totalsRowBorderDxfId="1372">
  <autoFilter ref="A32:D36" xr:uid="{00000000-0009-0000-0100-000049000000}"/>
  <tableColumns count="4">
    <tableColumn id="1" xr3:uid="{00000000-0010-0000-1000-000001000000}" name="Nr." totalsRowLabel="Gesamt" totalsRowDxfId="1371"/>
    <tableColumn id="2" xr3:uid="{00000000-0010-0000-1000-000002000000}" name="Betrag" totalsRowFunction="sum" dataDxfId="1370" totalsRowDxfId="1369"/>
    <tableColumn id="3" xr3:uid="{00000000-0010-0000-1000-000003000000}" name="Was?" dataDxfId="1368" totalsRowDxfId="1367"/>
    <tableColumn id="4" xr3:uid="{00000000-0010-0000-1000-000004000000}" name="Begründung" totalsRowFunction="count" dataDxfId="1366" totalsRowDxfId="1365"/>
  </tableColumns>
  <tableStyleInfo name="TableStyleLight1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elle16" displayName="Tabelle16" ref="M5:Q12" totalsRowCount="1" headerRowDxfId="1364" dataDxfId="1362" totalsRowDxfId="1360" headerRowBorderDxfId="1363" tableBorderDxfId="1361" totalsRowBorderDxfId="1359">
  <autoFilter ref="M5:Q11" xr:uid="{00000000-0009-0000-0100-000010000000}"/>
  <tableColumns count="5">
    <tableColumn id="1" xr3:uid="{00000000-0010-0000-1100-000001000000}" name="Vertrag Nr." totalsRowLabel="Gesamt" dataDxfId="1358" totalsRowDxfId="1357"/>
    <tableColumn id="2" xr3:uid="{00000000-0010-0000-1100-000002000000}" name="Vertragsinhalt" dataDxfId="1356" totalsRowDxfId="1355"/>
    <tableColumn id="3" xr3:uid="{00000000-0010-0000-1100-000003000000}" name="Vertragspartner" dataDxfId="1354" totalsRowDxfId="1353"/>
    <tableColumn id="4" xr3:uid="{00000000-0010-0000-1100-000004000000}" name="Beträge/Budget" totalsRowFunction="sum" dataDxfId="1352" totalsRowDxfId="1351" dataCellStyle="Währung"/>
    <tableColumn id="5" xr3:uid="{00000000-0010-0000-1100-000005000000}" name="Laufzeit" dataDxfId="1350" totalsRowDxfId="1349"/>
  </tableColumns>
  <tableStyleInfo name="TableStyleLight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elle17" displayName="Tabelle17" ref="M17:Q24" totalsRowCount="1" headerRowDxfId="1348" dataDxfId="1346" totalsRowDxfId="1344" headerRowBorderDxfId="1347" tableBorderDxfId="1345" totalsRowBorderDxfId="1343">
  <autoFilter ref="M17:Q23" xr:uid="{00000000-0009-0000-0100-000011000000}"/>
  <tableColumns count="5">
    <tableColumn id="1" xr3:uid="{00000000-0010-0000-1200-000001000000}" name="Lizenz-Nr." totalsRowLabel="Gesamt" dataDxfId="1342" totalsRowDxfId="1341"/>
    <tableColumn id="2" xr3:uid="{00000000-0010-0000-1200-000002000000}" name="Lizenzinhalt" dataDxfId="1340" totalsRowDxfId="1339"/>
    <tableColumn id="3" xr3:uid="{00000000-0010-0000-1200-000003000000}" name="Lizenzgeber" dataDxfId="1338" totalsRowDxfId="1337"/>
    <tableColumn id="4" xr3:uid="{00000000-0010-0000-1200-000004000000}" name="Beträge/Budget" totalsRowFunction="sum" dataDxfId="1336" totalsRowDxfId="1335" dataCellStyle="Währung"/>
    <tableColumn id="5" xr3:uid="{00000000-0010-0000-1200-000005000000}" name="Laufzeit" dataDxfId="1334" totalsRowDxfId="1333"/>
  </tableColumns>
  <tableStyleInfo name="TableStyleLight1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3000000}" name="Tabelle166" displayName="Tabelle166" ref="G5:K12" totalsRowCount="1" headerRowDxfId="1332" dataDxfId="1330" totalsRowDxfId="1328" headerRowBorderDxfId="1331" tableBorderDxfId="1329" totalsRowBorderDxfId="1327">
  <autoFilter ref="G5:K11" xr:uid="{00000000-0009-0000-0100-000005000000}"/>
  <tableColumns count="5">
    <tableColumn id="1" xr3:uid="{00000000-0010-0000-1300-000001000000}" name="Vertrag Nr." totalsRowLabel="Gesamt" dataDxfId="1326" totalsRowDxfId="1325"/>
    <tableColumn id="2" xr3:uid="{00000000-0010-0000-1300-000002000000}" name="Vertragsinhalt" dataDxfId="1324" totalsRowDxfId="1323"/>
    <tableColumn id="3" xr3:uid="{00000000-0010-0000-1300-000003000000}" name="Vertragspartner" dataDxfId="1322" totalsRowDxfId="1321"/>
    <tableColumn id="4" xr3:uid="{00000000-0010-0000-1300-000004000000}" name="Beträge/Budget" totalsRowFunction="sum" dataDxfId="1320" totalsRowDxfId="1319" dataCellStyle="Währung"/>
    <tableColumn id="5" xr3:uid="{00000000-0010-0000-1300-000005000000}" name="Laufzeit" dataDxfId="1318" totalsRowDxfId="1317"/>
  </tableColumns>
  <tableStyleInfo name="TableStyleLight1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4000000}" name="Tabelle177" displayName="Tabelle177" ref="G17:K24" totalsRowCount="1" headerRowDxfId="1316" dataDxfId="1314" totalsRowDxfId="1312" headerRowBorderDxfId="1315" tableBorderDxfId="1313" totalsRowBorderDxfId="1311">
  <autoFilter ref="G17:K23" xr:uid="{00000000-0009-0000-0100-000006000000}"/>
  <tableColumns count="5">
    <tableColumn id="1" xr3:uid="{00000000-0010-0000-1400-000001000000}" name="Lizenz-Nr." totalsRowLabel="Gesamt" dataDxfId="1310" totalsRowDxfId="1309"/>
    <tableColumn id="2" xr3:uid="{00000000-0010-0000-1400-000002000000}" name="Lizenzinhalt" dataDxfId="1308" totalsRowDxfId="1307"/>
    <tableColumn id="3" xr3:uid="{00000000-0010-0000-1400-000003000000}" name="Lizenzgeber" dataDxfId="1306" totalsRowDxfId="1305"/>
    <tableColumn id="4" xr3:uid="{00000000-0010-0000-1400-000004000000}" name="Beträge/Budget" totalsRowFunction="sum" dataDxfId="1304" totalsRowDxfId="1303" dataCellStyle="Währung"/>
    <tableColumn id="5" xr3:uid="{00000000-0010-0000-1400-000005000000}" name="Laufzeit" dataDxfId="1302" totalsRowDxfId="1301"/>
  </tableColumns>
  <tableStyleInfo name="TableStyleLight1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15000000}" name="Tabelle16669" displayName="Tabelle16669" ref="A5:E12" totalsRowCount="1" headerRowDxfId="1300" dataDxfId="1298" totalsRowDxfId="1296" headerRowBorderDxfId="1299" tableBorderDxfId="1297" totalsRowBorderDxfId="1295">
  <autoFilter ref="A5:E11" xr:uid="{00000000-0009-0000-0100-000044000000}"/>
  <tableColumns count="5">
    <tableColumn id="1" xr3:uid="{00000000-0010-0000-1500-000001000000}" name="Vertrag Nr." totalsRowLabel="Gesamt" dataDxfId="1294" totalsRowDxfId="1293"/>
    <tableColumn id="2" xr3:uid="{00000000-0010-0000-1500-000002000000}" name="Vertragsinhalt" dataDxfId="1292" totalsRowDxfId="1291"/>
    <tableColumn id="3" xr3:uid="{00000000-0010-0000-1500-000003000000}" name="Vertragspartner" dataDxfId="1290" totalsRowDxfId="1289"/>
    <tableColumn id="4" xr3:uid="{00000000-0010-0000-1500-000004000000}" name="Beträge/Budget" totalsRowFunction="sum" dataDxfId="1288" totalsRowDxfId="1287" dataCellStyle="Währung"/>
    <tableColumn id="5" xr3:uid="{00000000-0010-0000-1500-000005000000}" name="Laufzeit" dataDxfId="1286" totalsRowDxfId="1285"/>
  </tableColumns>
  <tableStyleInfo name="TableStyleLight1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16000000}" name="Tabelle17770" displayName="Tabelle17770" ref="A17:E24" totalsRowCount="1" headerRowDxfId="1284" dataDxfId="1282" totalsRowDxfId="1280" headerRowBorderDxfId="1283" tableBorderDxfId="1281" totalsRowBorderDxfId="1279">
  <autoFilter ref="A17:E23" xr:uid="{00000000-0009-0000-0100-000045000000}"/>
  <tableColumns count="5">
    <tableColumn id="1" xr3:uid="{00000000-0010-0000-1600-000001000000}" name="Lizenz-Nr." totalsRowLabel="Gesamt" dataDxfId="1278" totalsRowDxfId="1277"/>
    <tableColumn id="2" xr3:uid="{00000000-0010-0000-1600-000002000000}" name="Lizenzinhalt" dataDxfId="1276" totalsRowDxfId="1275"/>
    <tableColumn id="3" xr3:uid="{00000000-0010-0000-1600-000003000000}" name="Lizenzgeber" dataDxfId="1274" totalsRowDxfId="1273"/>
    <tableColumn id="4" xr3:uid="{00000000-0010-0000-1600-000004000000}" name="Beträge/Budget" totalsRowFunction="sum" dataDxfId="1272" totalsRowDxfId="1271" dataCellStyle="Währung"/>
    <tableColumn id="5" xr3:uid="{00000000-0010-0000-1600-000005000000}" name="Laufzeit" dataDxfId="1270" totalsRowDxfId="1269"/>
  </tableColumns>
  <tableStyleInfo name="TableStyleLight1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7000000}" name="Tabelle3" displayName="Tabelle3" ref="V5:AA12" totalsRowShown="0" headerRowDxfId="1268" dataDxfId="1266" headerRowBorderDxfId="1267" tableBorderDxfId="1265" totalsRowBorderDxfId="1264">
  <autoFilter ref="V5:AA12" xr:uid="{00000000-0009-0000-0100-000003000000}"/>
  <tableColumns count="6">
    <tableColumn id="1" xr3:uid="{00000000-0010-0000-1700-000001000000}" name="Vertrag Nr." dataDxfId="1263"/>
    <tableColumn id="2" xr3:uid="{00000000-0010-0000-1700-000002000000}" name="Vertragsinhalt*" dataDxfId="1262"/>
    <tableColumn id="3" xr3:uid="{00000000-0010-0000-1700-000003000000}" name="Vertragspartner" dataDxfId="1261"/>
    <tableColumn id="4" xr3:uid="{00000000-0010-0000-1700-000004000000}" name="Beträge/Budget" dataDxfId="1260"/>
    <tableColumn id="6" xr3:uid="{00000000-0010-0000-1700-000006000000}" name="Titel" dataDxfId="1259"/>
    <tableColumn id="5" xr3:uid="{00000000-0010-0000-1700-000005000000}" name="Laufzeit" dataDxfId="1258"/>
  </tableColumns>
  <tableStyleInfo name="TableStyleLight20"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18000000}" name="Tabelle358" displayName="Tabelle358" ref="O5:T13" totalsRowShown="0" headerRowDxfId="1257" dataDxfId="1255" headerRowBorderDxfId="1256" tableBorderDxfId="1254" totalsRowBorderDxfId="1253">
  <autoFilter ref="O5:T13" xr:uid="{00000000-0009-0000-0100-000039000000}"/>
  <tableColumns count="6">
    <tableColumn id="1" xr3:uid="{00000000-0010-0000-1800-000001000000}" name="Vertrag Nr." dataDxfId="1252"/>
    <tableColumn id="2" xr3:uid="{00000000-0010-0000-1800-000002000000}" name="Vertragsinhalt*" dataDxfId="1251"/>
    <tableColumn id="3" xr3:uid="{00000000-0010-0000-1800-000003000000}" name="Vertragspartner" dataDxfId="1250"/>
    <tableColumn id="4" xr3:uid="{00000000-0010-0000-1800-000004000000}" name="Beträge/Budget" dataDxfId="1249"/>
    <tableColumn id="6" xr3:uid="{00000000-0010-0000-1800-000006000000}" name="Titel" dataDxfId="1248"/>
    <tableColumn id="5" xr3:uid="{00000000-0010-0000-1800-000005000000}" name="Laufzeit" dataDxfId="1247"/>
  </tableColumns>
  <tableStyleInfo name="TableStyleLight20"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9000000}" name="Tabelle35811" displayName="Tabelle35811" ref="O17:T24" totalsRowShown="0" headerRowDxfId="1246" dataDxfId="1244" headerRowBorderDxfId="1245" tableBorderDxfId="1243" totalsRowBorderDxfId="1242">
  <autoFilter ref="O17:T24" xr:uid="{00000000-0009-0000-0100-00000A000000}"/>
  <tableColumns count="6">
    <tableColumn id="1" xr3:uid="{00000000-0010-0000-1900-000001000000}" name="Vertrag Nr." dataDxfId="1241"/>
    <tableColumn id="2" xr3:uid="{00000000-0010-0000-1900-000002000000}" name="Vertragsinhalt*" dataDxfId="1240"/>
    <tableColumn id="3" xr3:uid="{00000000-0010-0000-1900-000003000000}" name="Vertragspartner" dataDxfId="1239"/>
    <tableColumn id="4" xr3:uid="{00000000-0010-0000-1900-000004000000}" name="Beträge/Budget" dataDxfId="1238"/>
    <tableColumn id="6" xr3:uid="{00000000-0010-0000-1900-000006000000}" name="Titel" dataDxfId="1237"/>
    <tableColumn id="5" xr3:uid="{00000000-0010-0000-1900-000005000000}" name="Laufzeit" dataDxfId="1236"/>
  </tableColumns>
  <tableStyleInfo name="TableStyleLight20"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A000000}" name="Tabelle35837" displayName="Tabelle35837" ref="H5:M13" totalsRowShown="0" headerRowDxfId="1235" dataDxfId="1233" headerRowBorderDxfId="1234" tableBorderDxfId="1232" totalsRowBorderDxfId="1231">
  <autoFilter ref="H5:M13" xr:uid="{00000000-0009-0000-0100-000024000000}"/>
  <tableColumns count="6">
    <tableColumn id="1" xr3:uid="{00000000-0010-0000-1A00-000001000000}" name="Vertrag Nr." dataDxfId="1230"/>
    <tableColumn id="2" xr3:uid="{00000000-0010-0000-1A00-000002000000}" name="Vertragsinhalt*" dataDxfId="1229"/>
    <tableColumn id="3" xr3:uid="{00000000-0010-0000-1A00-000003000000}" name="Vertragspartner" dataDxfId="1228"/>
    <tableColumn id="4" xr3:uid="{00000000-0010-0000-1A00-000004000000}" name="Beträge/Budget" dataDxfId="1227"/>
    <tableColumn id="6" xr3:uid="{00000000-0010-0000-1A00-000006000000}" name="Titel" dataDxfId="1226"/>
    <tableColumn id="5" xr3:uid="{00000000-0010-0000-1A00-000005000000}" name="Laufzeit" dataDxfId="1225"/>
  </tableColumns>
  <tableStyleInfo name="TableStyleLight20"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1B000000}" name="Tabelle3581143" displayName="Tabelle3581143" ref="H17:M24" totalsRowShown="0" headerRowDxfId="1224" dataDxfId="1222" headerRowBorderDxfId="1223" tableBorderDxfId="1221" totalsRowBorderDxfId="1220">
  <autoFilter ref="H17:M24" xr:uid="{00000000-0009-0000-0100-00002A000000}"/>
  <tableColumns count="6">
    <tableColumn id="1" xr3:uid="{00000000-0010-0000-1B00-000001000000}" name="Vertrag Nr." dataDxfId="1219"/>
    <tableColumn id="2" xr3:uid="{00000000-0010-0000-1B00-000002000000}" name="Vertragsinhalt*" dataDxfId="1218"/>
    <tableColumn id="3" xr3:uid="{00000000-0010-0000-1B00-000003000000}" name="Vertragspartner" dataDxfId="1217"/>
    <tableColumn id="4" xr3:uid="{00000000-0010-0000-1B00-000004000000}" name="Beträge/Budget" dataDxfId="1216"/>
    <tableColumn id="6" xr3:uid="{00000000-0010-0000-1B00-000006000000}" name="Titel" dataDxfId="1215"/>
    <tableColumn id="5" xr3:uid="{00000000-0010-0000-1B00-000005000000}" name="Laufzeit" dataDxfId="1214"/>
  </tableColumns>
  <tableStyleInfo name="TableStyleLight20"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1C000000}" name="Tabelle3583767" displayName="Tabelle3583767" ref="A5:F13" totalsRowShown="0" headerRowDxfId="1213" dataDxfId="1211" headerRowBorderDxfId="1212" tableBorderDxfId="1210" totalsRowBorderDxfId="1209">
  <autoFilter ref="A5:F13" xr:uid="{00000000-0009-0000-0100-000042000000}"/>
  <tableColumns count="6">
    <tableColumn id="1" xr3:uid="{00000000-0010-0000-1C00-000001000000}" name="Vertrag Nr." dataDxfId="1208"/>
    <tableColumn id="2" xr3:uid="{00000000-0010-0000-1C00-000002000000}" name="Vertragsinhalt*" dataDxfId="1207"/>
    <tableColumn id="3" xr3:uid="{00000000-0010-0000-1C00-000003000000}" name="Vertragspartner" dataDxfId="1206"/>
    <tableColumn id="4" xr3:uid="{00000000-0010-0000-1C00-000004000000}" name="Beträge/Budget" dataDxfId="1205"/>
    <tableColumn id="6" xr3:uid="{00000000-0010-0000-1C00-000006000000}" name="Titel" dataDxfId="1204"/>
    <tableColumn id="5" xr3:uid="{00000000-0010-0000-1C00-000005000000}" name="Laufzeit" dataDxfId="1203"/>
  </tableColumns>
  <tableStyleInfo name="TableStyleLight20"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1D000000}" name="Tabelle358114368" displayName="Tabelle358114368" ref="A17:F24" totalsRowShown="0" headerRowDxfId="1202" dataDxfId="1200" headerRowBorderDxfId="1201" tableBorderDxfId="1199" totalsRowBorderDxfId="1198">
  <autoFilter ref="A17:F24" xr:uid="{00000000-0009-0000-0100-000043000000}"/>
  <tableColumns count="6">
    <tableColumn id="1" xr3:uid="{00000000-0010-0000-1D00-000001000000}" name="Vertrag Nr." dataDxfId="1197"/>
    <tableColumn id="2" xr3:uid="{00000000-0010-0000-1D00-000002000000}" name="Vertragsinhalt*" dataDxfId="1196"/>
    <tableColumn id="3" xr3:uid="{00000000-0010-0000-1D00-000003000000}" name="Vertragspartner" dataDxfId="1195"/>
    <tableColumn id="4" xr3:uid="{00000000-0010-0000-1D00-000004000000}" name="Beträge/Budget" dataDxfId="1194"/>
    <tableColumn id="6" xr3:uid="{00000000-0010-0000-1D00-000006000000}" name="Titel" dataDxfId="1193"/>
    <tableColumn id="5" xr3:uid="{00000000-0010-0000-1D00-000005000000}" name="Laufzeit" dataDxfId="1192"/>
  </tableColumns>
  <tableStyleInfo name="TableStyleLight2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E000000}" name="Tabelle19" displayName="Tabelle19" ref="A3:C15" totalsRowCount="1" headerRowDxfId="1191" tableBorderDxfId="1190">
  <autoFilter ref="A3:C14" xr:uid="{00000000-0009-0000-0100-000013000000}"/>
  <tableColumns count="3">
    <tableColumn id="1" xr3:uid="{00000000-0010-0000-1E00-000001000000}" name="Empfänger" totalsRowLabel="Ergebnis" totalsRowDxfId="1189"/>
    <tableColumn id="2" xr3:uid="{00000000-0010-0000-1E00-000002000000}" name="Art" totalsRowDxfId="1188"/>
    <tableColumn id="3" xr3:uid="{00000000-0010-0000-1E00-000003000000}" name="Höhe p.A." totalsRowFunction="sum" dataDxfId="1187" totalsRowDxfId="1186"/>
  </tableColumns>
  <tableStyleInfo name="TableStyleLight17"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F000000}" name="Tabelle20" displayName="Tabelle20" ref="A20:D33" totalsRowCount="1" headerRowDxfId="1185" tableBorderDxfId="1184">
  <autoFilter ref="A20:D32" xr:uid="{00000000-0009-0000-0100-000014000000}"/>
  <tableColumns count="4">
    <tableColumn id="1" xr3:uid="{00000000-0010-0000-1F00-000001000000}" name="Muster" totalsRowLabel="Ergebnis" totalsRowDxfId="1183"/>
    <tableColumn id="2" xr3:uid="{00000000-0010-0000-1F00-000002000000}" name="AE" dataDxfId="1182" totalsRowDxfId="1181"/>
    <tableColumn id="3" xr3:uid="{00000000-0010-0000-1F00-000003000000}" name="Anzahl" totalsRowDxfId="1180"/>
    <tableColumn id="4" xr3:uid="{00000000-0010-0000-1F00-000004000000}" name="Gesamt:" totalsRowFunction="sum" dataDxfId="1179" totalsRowDxfId="1178"/>
  </tableColumns>
  <tableStyleInfo name="TableStyleLight1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20000000}" name="Tabelle1959" displayName="Tabelle1959" ref="F3:H15" totalsRowCount="1" headerRowDxfId="1177" tableBorderDxfId="1176">
  <autoFilter ref="F3:H14" xr:uid="{00000000-0009-0000-0100-00003A000000}"/>
  <tableColumns count="3">
    <tableColumn id="1" xr3:uid="{00000000-0010-0000-2000-000001000000}" name="Empfänger" totalsRowLabel="Ergebnis" totalsRowDxfId="1175"/>
    <tableColumn id="2" xr3:uid="{00000000-0010-0000-2000-000002000000}" name="Art" totalsRowDxfId="1174"/>
    <tableColumn id="3" xr3:uid="{00000000-0010-0000-2000-000003000000}" name="Höhe p.A." totalsRowFunction="sum" dataDxfId="1173" totalsRowDxfId="1172"/>
  </tableColumns>
  <tableStyleInfo name="TableStyleLight17"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21000000}" name="Tabelle19595" displayName="Tabelle19595" ref="K3:M15" totalsRowCount="1" headerRowDxfId="1171" tableBorderDxfId="1170">
  <autoFilter ref="K3:M14" xr:uid="{00000000-0009-0000-0100-000004000000}"/>
  <tableColumns count="3">
    <tableColumn id="1" xr3:uid="{00000000-0010-0000-2100-000001000000}" name="Empfänger" totalsRowLabel="Ergebnis" totalsRowDxfId="1169"/>
    <tableColumn id="2" xr3:uid="{00000000-0010-0000-2100-000002000000}" name="Art" totalsRowDxfId="1168"/>
    <tableColumn id="3" xr3:uid="{00000000-0010-0000-2100-000003000000}" name="Höhe p.A." totalsRowFunction="sum" dataDxfId="1167" totalsRowDxfId="1166"/>
  </tableColumns>
  <tableStyleInfo name="TableStyleLight17"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2000000}" name="Tabelle189" displayName="Tabelle189" ref="A3:Q23" totalsRowCount="1" headerRowDxfId="1165" dataDxfId="1164" totalsRowDxfId="1162" tableBorderDxfId="1163">
  <autoFilter ref="A3:Q22" xr:uid="{00000000-0009-0000-0100-00002C000000}"/>
  <tableColumns count="17">
    <tableColumn id="1" xr3:uid="{00000000-0010-0000-2200-000001000000}" name="Titel" dataDxfId="1161" totalsRowDxfId="495"/>
    <tableColumn id="2" xr3:uid="{00000000-0010-0000-2200-000002000000}" name="Kontenbezeichnung" dataDxfId="1160" totalsRowDxfId="494"/>
    <tableColumn id="3" xr3:uid="{00000000-0010-0000-2200-000003000000}" name="-" dataDxfId="1159" totalsRowDxfId="493"/>
    <tableColumn id="4" xr3:uid="{00000000-0010-0000-2200-000004000000}" name="Erläuterung" totalsRowLabel="Gesamt:" dataDxfId="1158" totalsRowDxfId="492"/>
    <tableColumn id="13" xr3:uid="{00000000-0010-0000-2200-00000D000000}" name="Freie Eingabe HHJ 24-25" totalsRowFunction="custom" dataDxfId="1157" totalsRowDxfId="491">
      <totalsRowFormula>SUBTOTAL(109,E10:E22)</totalsRowFormula>
    </tableColumn>
    <tableColumn id="11" xr3:uid="{00000000-0010-0000-2200-00000B000000}" name="Rechnung HHJ 24-25" totalsRowFunction="custom" dataDxfId="1156" totalsRowDxfId="490">
      <calculatedColumnFormula>M$111</calculatedColumnFormula>
      <totalsRowFormula>SUBTOTAL(109,F10:F22)</totalsRowFormula>
    </tableColumn>
    <tableColumn id="15" xr3:uid="{00000000-0010-0000-2200-00000F000000}" name="Freie Eingabe NHH 23-24" totalsRowFunction="custom" dataDxfId="1155" totalsRowDxfId="489">
      <totalsRowFormula>SUBTOTAL(109,G10:G22)</totalsRowFormula>
    </tableColumn>
    <tableColumn id="14" xr3:uid="{00000000-0010-0000-2200-00000E000000}" name="Rechnung NHH 23-24" totalsRowFunction="custom" dataDxfId="1154" totalsRowDxfId="488">
      <totalsRowFormula>SUBTOTAL(109,H10:H22)</totalsRowFormula>
    </tableColumn>
    <tableColumn id="10" xr3:uid="{00000000-0010-0000-2200-00000A000000}" name="Freie Eingabe HHJ 23-24" totalsRowFunction="custom" dataDxfId="1153" totalsRowDxfId="487">
      <totalsRowFormula>SUBTOTAL(109,I10:I22)</totalsRowFormula>
    </tableColumn>
    <tableColumn id="6" xr3:uid="{00000000-0010-0000-2200-000006000000}" name="Rechnung HHJ 23-24" totalsRowFunction="custom" dataDxfId="1152" totalsRowDxfId="486">
      <totalsRowFormula>SUBTOTAL(109,J10:J22)</totalsRowFormula>
    </tableColumn>
    <tableColumn id="12" xr3:uid="{00000000-0010-0000-2200-00000C000000}" name="IST HHJ 23-24" totalsRowFunction="custom" dataDxfId="1151" totalsRowDxfId="485">
      <totalsRowFormula>SUBTOTAL(109,K10:K22)</totalsRowFormula>
    </tableColumn>
    <tableColumn id="19" xr3:uid="{00000000-0010-0000-2200-000013000000}" name="Freie Eingabe Plan HHJ 22-23" totalsRowFunction="custom" dataDxfId="1150" totalsRowDxfId="484">
      <totalsRowFormula>SUBTOTAL(109,L10:L22)</totalsRowFormula>
    </tableColumn>
    <tableColumn id="17" xr3:uid="{00000000-0010-0000-2200-000011000000}" name="Rechnung HHJ 22-23" totalsRowFunction="custom" dataDxfId="1149" totalsRowDxfId="483" dataCellStyle="Link">
      <totalsRowFormula>SUBTOTAL(109,M10:M22)</totalsRowFormula>
    </tableColumn>
    <tableColumn id="5" xr3:uid="{00000000-0010-0000-2200-000005000000}" name="Freie Eingabe Plan HHJ 21-22" totalsRowFunction="custom" dataDxfId="1148" totalsRowDxfId="482">
      <totalsRowFormula>SUBTOTAL(109,N10:N22)</totalsRowFormula>
    </tableColumn>
    <tableColumn id="7" xr3:uid="{00000000-0010-0000-2200-000007000000}" name="IST HHJ 21-22" totalsRowFunction="custom" dataDxfId="1147" totalsRowDxfId="481">
      <totalsRowFormula>SUBTOTAL(109,O10:O22)</totalsRowFormula>
    </tableColumn>
    <tableColumn id="8" xr3:uid="{00000000-0010-0000-2200-000008000000}" name="Abschluss 20-21" dataDxfId="1146" totalsRowDxfId="480"/>
    <tableColumn id="9" xr3:uid="{00000000-0010-0000-2200-000009000000}" name="Plan HHJ 20-21" dataDxfId="1145" totalsRowDxfId="479"/>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23000000}" name="Tabelle18966" displayName="Tabelle18966" ref="A3:Q23" totalsRowCount="1" headerRowDxfId="1144" dataDxfId="1143" totalsRowDxfId="1141" tableBorderDxfId="1142">
  <autoFilter ref="A3:Q22" xr:uid="{00000000-0009-0000-0100-000041000000}"/>
  <tableColumns count="17">
    <tableColumn id="1" xr3:uid="{00000000-0010-0000-2300-000001000000}" name="Titel" dataDxfId="1140" totalsRowDxfId="478"/>
    <tableColumn id="2" xr3:uid="{00000000-0010-0000-2300-000002000000}" name="Kontenbezeichnung" dataDxfId="1139" totalsRowDxfId="477"/>
    <tableColumn id="3" xr3:uid="{00000000-0010-0000-2300-000003000000}" name="-" dataDxfId="1138" totalsRowDxfId="476"/>
    <tableColumn id="4" xr3:uid="{00000000-0010-0000-2300-000004000000}" name="Erläuterung" totalsRowLabel="Gesamt:" dataDxfId="1137" totalsRowDxfId="475"/>
    <tableColumn id="13" xr3:uid="{00000000-0010-0000-2300-00000D000000}" name="Freie Eingabe HHJ 24-25" totalsRowFunction="custom" dataDxfId="1136" totalsRowDxfId="474">
      <totalsRowFormula>SUBTOTAL(109,E10:E22)</totalsRowFormula>
    </tableColumn>
    <tableColumn id="11" xr3:uid="{00000000-0010-0000-2300-00000B000000}" name="Rechnung HHJ 24-25" totalsRowFunction="custom" dataDxfId="1135" totalsRowDxfId="473">
      <calculatedColumnFormula>M$111</calculatedColumnFormula>
      <totalsRowFormula>SUBTOTAL(109,F10:F22)</totalsRowFormula>
    </tableColumn>
    <tableColumn id="15" xr3:uid="{00000000-0010-0000-2300-00000F000000}" name="Freie Eingabe NHH 23-24" totalsRowFunction="custom" dataDxfId="1134" totalsRowDxfId="472">
      <totalsRowFormula>SUBTOTAL(109,G10:G22)</totalsRowFormula>
    </tableColumn>
    <tableColumn id="14" xr3:uid="{00000000-0010-0000-2300-00000E000000}" name="Rechnung NHH 23-24" totalsRowFunction="custom" dataDxfId="1133" totalsRowDxfId="471">
      <totalsRowFormula>SUBTOTAL(109,H10:H22)</totalsRowFormula>
    </tableColumn>
    <tableColumn id="10" xr3:uid="{00000000-0010-0000-2300-00000A000000}" name="Freie Eingabe HHJ 23-24" totalsRowFunction="custom" dataDxfId="1132" totalsRowDxfId="470">
      <totalsRowFormula>SUBTOTAL(109,I10:I22)</totalsRowFormula>
    </tableColumn>
    <tableColumn id="6" xr3:uid="{00000000-0010-0000-2300-000006000000}" name="Rechnung HHJ 23-24" totalsRowFunction="custom" dataDxfId="1131" totalsRowDxfId="469">
      <totalsRowFormula>SUBTOTAL(109,J10:J22)</totalsRowFormula>
    </tableColumn>
    <tableColumn id="12" xr3:uid="{00000000-0010-0000-2300-00000C000000}" name="IST HHJ 23-24" totalsRowFunction="custom" dataDxfId="1130" totalsRowDxfId="468">
      <totalsRowFormula>SUBTOTAL(109,K10:K22)</totalsRowFormula>
    </tableColumn>
    <tableColumn id="19" xr3:uid="{00000000-0010-0000-2300-000013000000}" name="Freie Eingabe Plan HHJ 22-23" totalsRowFunction="custom" dataDxfId="1129" totalsRowDxfId="467">
      <totalsRowFormula>SUBTOTAL(109,L10:L22)</totalsRowFormula>
    </tableColumn>
    <tableColumn id="17" xr3:uid="{00000000-0010-0000-2300-000011000000}" name="Rechnung HHJ 22-23" totalsRowFunction="custom" dataDxfId="1128" totalsRowDxfId="466" dataCellStyle="Link">
      <totalsRowFormula>SUBTOTAL(109,M10:M22)</totalsRowFormula>
    </tableColumn>
    <tableColumn id="5" xr3:uid="{00000000-0010-0000-2300-000005000000}" name="Freie Eingabe Plan HHJ 21-22" totalsRowFunction="custom" dataDxfId="1127" totalsRowDxfId="465">
      <totalsRowFormula>SUBTOTAL(109,N10:N22)</totalsRowFormula>
    </tableColumn>
    <tableColumn id="7" xr3:uid="{00000000-0010-0000-2300-000007000000}" name="IST HHJ 21-22" totalsRowFunction="custom" dataDxfId="1126" totalsRowDxfId="464">
      <totalsRowFormula>SUBTOTAL(109,O10:O22)</totalsRowFormula>
    </tableColumn>
    <tableColumn id="8" xr3:uid="{00000000-0010-0000-2300-000008000000}" name="Abschluss 20-21" dataDxfId="1125" totalsRowDxfId="463"/>
    <tableColumn id="9" xr3:uid="{00000000-0010-0000-2300-000009000000}" name="Plan HHJ 20-21" dataDxfId="1124" totalsRowDxfId="462"/>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24000000}" name="Tabelle1896675" displayName="Tabelle1896675" ref="A3:Q23" totalsRowCount="1" headerRowDxfId="1123" dataDxfId="1122" totalsRowDxfId="1120" tableBorderDxfId="1121">
  <autoFilter ref="A3:Q22" xr:uid="{00000000-0009-0000-0100-00004A000000}"/>
  <tableColumns count="17">
    <tableColumn id="1" xr3:uid="{00000000-0010-0000-2400-000001000000}" name="Titel" dataDxfId="1119" totalsRowDxfId="461"/>
    <tableColumn id="2" xr3:uid="{00000000-0010-0000-2400-000002000000}" name="Kontenbezeichnung" dataDxfId="1118" totalsRowDxfId="460"/>
    <tableColumn id="3" xr3:uid="{00000000-0010-0000-2400-000003000000}" name="-" dataDxfId="1117" totalsRowDxfId="459"/>
    <tableColumn id="4" xr3:uid="{00000000-0010-0000-2400-000004000000}" name="Erläuterung" totalsRowLabel="Gesamt:" dataDxfId="1116" totalsRowDxfId="458"/>
    <tableColumn id="13" xr3:uid="{00000000-0010-0000-2400-00000D000000}" name="Freie Eingabe HHJ 24-25" totalsRowFunction="custom" dataDxfId="1115" totalsRowDxfId="457">
      <totalsRowFormula>SUBTOTAL(109,E10:E22)</totalsRowFormula>
    </tableColumn>
    <tableColumn id="11" xr3:uid="{00000000-0010-0000-2400-00000B000000}" name="Rechnung HHJ 24-25" totalsRowFunction="custom" dataDxfId="1114" totalsRowDxfId="456">
      <calculatedColumnFormula>M$111</calculatedColumnFormula>
      <totalsRowFormula>SUBTOTAL(109,F10:F22)</totalsRowFormula>
    </tableColumn>
    <tableColumn id="15" xr3:uid="{00000000-0010-0000-2400-00000F000000}" name="Freie Eingabe NHH 23-24" totalsRowFunction="custom" dataDxfId="1113" totalsRowDxfId="455">
      <totalsRowFormula>SUBTOTAL(109,G10:G22)</totalsRowFormula>
    </tableColumn>
    <tableColumn id="14" xr3:uid="{00000000-0010-0000-2400-00000E000000}" name="Rechnung NHH 23-24" totalsRowFunction="custom" dataDxfId="1112" totalsRowDxfId="454">
      <totalsRowFormula>SUBTOTAL(109,H10:H22)</totalsRowFormula>
    </tableColumn>
    <tableColumn id="10" xr3:uid="{00000000-0010-0000-2400-00000A000000}" name="Freie Eingabe HHJ 23-24" totalsRowFunction="custom" dataDxfId="1111" totalsRowDxfId="453">
      <totalsRowFormula>SUBTOTAL(109,I10:I22)</totalsRowFormula>
    </tableColumn>
    <tableColumn id="6" xr3:uid="{00000000-0010-0000-2400-000006000000}" name="Rechnung HHJ 23-24" totalsRowFunction="custom" dataDxfId="1110" totalsRowDxfId="452">
      <totalsRowFormula>SUBTOTAL(109,J10:J22)</totalsRowFormula>
    </tableColumn>
    <tableColumn id="12" xr3:uid="{00000000-0010-0000-2400-00000C000000}" name="IST HHJ 23-24" totalsRowFunction="custom" dataDxfId="1109" totalsRowDxfId="451">
      <totalsRowFormula>SUBTOTAL(109,K10:K22)</totalsRowFormula>
    </tableColumn>
    <tableColumn id="19" xr3:uid="{00000000-0010-0000-2400-000013000000}" name="Freie Eingabe Plan HHJ 22-23" totalsRowFunction="custom" dataDxfId="1108" totalsRowDxfId="450">
      <totalsRowFormula>SUBTOTAL(109,L10:L22)</totalsRowFormula>
    </tableColumn>
    <tableColumn id="17" xr3:uid="{00000000-0010-0000-2400-000011000000}" name="Rechnung HHJ 22-23" totalsRowFunction="custom" dataDxfId="1107" totalsRowDxfId="449" dataCellStyle="Link">
      <totalsRowFormula>SUBTOTAL(109,M10:M22)</totalsRowFormula>
    </tableColumn>
    <tableColumn id="5" xr3:uid="{00000000-0010-0000-2400-000005000000}" name="Freie Eingabe Plan HHJ 21-22" totalsRowFunction="custom" dataDxfId="1106" totalsRowDxfId="448">
      <totalsRowFormula>SUBTOTAL(109,N10:N22)</totalsRowFormula>
    </tableColumn>
    <tableColumn id="7" xr3:uid="{00000000-0010-0000-2400-000007000000}" name="IST HHJ 21-22" totalsRowFunction="custom" dataDxfId="1105" totalsRowDxfId="447">
      <totalsRowFormula>SUBTOTAL(109,O10:O22)</totalsRowFormula>
    </tableColumn>
    <tableColumn id="8" xr3:uid="{00000000-0010-0000-2400-000008000000}" name="Abschluss 20-21" dataDxfId="1104" totalsRowDxfId="446"/>
    <tableColumn id="9" xr3:uid="{00000000-0010-0000-2400-000009000000}" name="Plan HHJ 20-21" dataDxfId="1103" totalsRowDxfId="445"/>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25000000}" name="Tabelle189667576" displayName="Tabelle189667576" ref="A3:Q23" totalsRowCount="1" headerRowDxfId="1102" dataDxfId="1101" totalsRowDxfId="1099" tableBorderDxfId="1100">
  <autoFilter ref="A3:Q22" xr:uid="{00000000-0009-0000-0100-00004B000000}"/>
  <tableColumns count="17">
    <tableColumn id="1" xr3:uid="{00000000-0010-0000-2500-000001000000}" name="Titel" dataDxfId="1098" totalsRowDxfId="444"/>
    <tableColumn id="2" xr3:uid="{00000000-0010-0000-2500-000002000000}" name="Kontenbezeichnung" dataDxfId="1097" totalsRowDxfId="443"/>
    <tableColumn id="3" xr3:uid="{00000000-0010-0000-2500-000003000000}" name="-" dataDxfId="1096" totalsRowDxfId="442"/>
    <tableColumn id="4" xr3:uid="{00000000-0010-0000-2500-000004000000}" name="Erläuterung" totalsRowLabel="Gesamt:" dataDxfId="1095" totalsRowDxfId="441"/>
    <tableColumn id="13" xr3:uid="{00000000-0010-0000-2500-00000D000000}" name="Freie Eingabe HHJ 24-25" totalsRowFunction="custom" dataDxfId="1094" totalsRowDxfId="440">
      <totalsRowFormula>SUBTOTAL(109,E10:E22)</totalsRowFormula>
    </tableColumn>
    <tableColumn id="11" xr3:uid="{00000000-0010-0000-2500-00000B000000}" name="Rechnung HHJ 24-25" totalsRowFunction="custom" dataDxfId="1093" totalsRowDxfId="439">
      <calculatedColumnFormula>M$111</calculatedColumnFormula>
      <totalsRowFormula>SUBTOTAL(109,F10:F22)</totalsRowFormula>
    </tableColumn>
    <tableColumn id="15" xr3:uid="{00000000-0010-0000-2500-00000F000000}" name="Freie Eingabe NHH 23-24" totalsRowFunction="custom" dataDxfId="1092" totalsRowDxfId="438">
      <totalsRowFormula>SUBTOTAL(109,G10:G22)</totalsRowFormula>
    </tableColumn>
    <tableColumn id="14" xr3:uid="{00000000-0010-0000-2500-00000E000000}" name="Rechnung NHH 23-24" totalsRowFunction="custom" dataDxfId="1091" totalsRowDxfId="437">
      <totalsRowFormula>SUBTOTAL(109,H10:H22)</totalsRowFormula>
    </tableColumn>
    <tableColumn id="10" xr3:uid="{00000000-0010-0000-2500-00000A000000}" name="Freie Eingabe HHJ 23-24" totalsRowFunction="custom" dataDxfId="1090" totalsRowDxfId="436">
      <totalsRowFormula>SUBTOTAL(109,I10:I22)</totalsRowFormula>
    </tableColumn>
    <tableColumn id="6" xr3:uid="{00000000-0010-0000-2500-000006000000}" name="Rechnung HHJ 23-24" totalsRowFunction="custom" dataDxfId="1089" totalsRowDxfId="435">
      <totalsRowFormula>SUBTOTAL(109,J10:J22)</totalsRowFormula>
    </tableColumn>
    <tableColumn id="12" xr3:uid="{00000000-0010-0000-2500-00000C000000}" name="IST HHJ 23-24" totalsRowFunction="custom" dataDxfId="1088" totalsRowDxfId="434">
      <totalsRowFormula>SUBTOTAL(109,K10:K22)</totalsRowFormula>
    </tableColumn>
    <tableColumn id="19" xr3:uid="{00000000-0010-0000-2500-000013000000}" name="Freie Eingabe Plan HHJ 22-23" totalsRowFunction="custom" dataDxfId="1087" totalsRowDxfId="433">
      <totalsRowFormula>SUBTOTAL(109,L10:L22)</totalsRowFormula>
    </tableColumn>
    <tableColumn id="17" xr3:uid="{00000000-0010-0000-2500-000011000000}" name="Rechnung HHJ 22-23" totalsRowFunction="custom" dataDxfId="1086" totalsRowDxfId="432" dataCellStyle="Link">
      <totalsRowFormula>SUBTOTAL(109,M10:M22)</totalsRowFormula>
    </tableColumn>
    <tableColumn id="5" xr3:uid="{00000000-0010-0000-2500-000005000000}" name="Freie Eingabe Plan HHJ 21-22" totalsRowFunction="custom" dataDxfId="1085" totalsRowDxfId="431">
      <totalsRowFormula>SUBTOTAL(109,N10:N22)</totalsRowFormula>
    </tableColumn>
    <tableColumn id="7" xr3:uid="{00000000-0010-0000-2500-000007000000}" name="IST HHJ 21-22" totalsRowFunction="custom" dataDxfId="1084" totalsRowDxfId="430">
      <totalsRowFormula>SUBTOTAL(109,O10:O22)</totalsRowFormula>
    </tableColumn>
    <tableColumn id="8" xr3:uid="{00000000-0010-0000-2500-000008000000}" name="Abschluss 20-21" dataDxfId="1083" totalsRowDxfId="429"/>
    <tableColumn id="9" xr3:uid="{00000000-0010-0000-2500-000009000000}" name="Plan HHJ 20-21" dataDxfId="1082" totalsRowDxfId="428"/>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26000000}" name="Tabelle410232731" displayName="Tabelle410232731" ref="R44:AC56" totalsRowCount="1" headerRowDxfId="1081" dataDxfId="1080" totalsRowDxfId="1079">
  <autoFilter ref="R44:AC55" xr:uid="{00000000-0009-0000-0100-00001E000000}"/>
  <tableColumns count="12">
    <tableColumn id="13" xr3:uid="{00000000-0010-0000-2600-00000D000000}" name="Lfd. Nr." dataDxfId="1078" totalsRowDxfId="418">
      <calculatedColumnFormula>ROW(A1)</calculatedColumnFormula>
    </tableColumn>
    <tableColumn id="1" xr3:uid="{00000000-0010-0000-2600-000001000000}" name="Beschreibung/ Kurzbezeichnung" totalsRowLabel="Gesamt:  " dataDxfId="1077" totalsRowDxfId="417"/>
    <tableColumn id="2" xr3:uid="{00000000-0010-0000-2600-000002000000}" name="Teilnahmebeiträge Fachseminare" totalsRowFunction="custom" dataDxfId="1076" totalsRowDxfId="416">
      <totalsRowFormula>SUBTOTAL(9,Tabelle410232731[Teilnahmebeiträge Fachseminare])</totalsRowFormula>
    </tableColumn>
    <tableColumn id="3" xr3:uid="{00000000-0010-0000-2600-000003000000}" name="Teilnahmebeiträge Veranstaltungen" totalsRowFunction="custom" dataDxfId="1075" totalsRowDxfId="415">
      <totalsRowFormula>SUBTOTAL(9,Tabelle410232731[Teilnahmebeiträge Veranstaltungen])</totalsRowFormula>
    </tableColumn>
    <tableColumn id="4" xr3:uid="{00000000-0010-0000-2600-000004000000}" name="Sonstige Einnahmen" totalsRowFunction="custom" dataDxfId="1074" totalsRowDxfId="414">
      <totalsRowFormula>SUBTOTAL(9,Tabelle410232731[Sonstige Einnahmen])</totalsRowFormula>
    </tableColumn>
    <tableColumn id="5" xr3:uid="{00000000-0010-0000-2600-000005000000}" name="Honorare Dozierende Fachseminare" totalsRowFunction="custom" dataDxfId="1073" totalsRowDxfId="413">
      <totalsRowFormula>SUBTOTAL(9,Tabelle410232731[Honorare Dozierende Fachseminare])</totalsRowFormula>
    </tableColumn>
    <tableColumn id="6" xr3:uid="{00000000-0010-0000-2600-000006000000}" name="Aufwandsentschädigungen" totalsRowFunction="custom" dataDxfId="1072" totalsRowDxfId="412">
      <totalsRowFormula>SUBTOTAL(9,Tabelle410232731[Aufwandsentschädigungen])</totalsRowFormula>
    </tableColumn>
    <tableColumn id="7" xr3:uid="{00000000-0010-0000-2600-000007000000}" name="Externe Reisekosten" totalsRowFunction="custom" dataDxfId="1071" totalsRowDxfId="411">
      <totalsRowFormula>SUBTOTAL(9,Tabelle410232731[Externe Reisekosten])</totalsRowFormula>
    </tableColumn>
    <tableColumn id="8" xr3:uid="{00000000-0010-0000-2600-000008000000}" name="Repräsentation/Bewirtung extern" totalsRowFunction="custom" dataDxfId="1070" totalsRowDxfId="410">
      <totalsRowFormula>SUBTOTAL(9,Tabelle410232731[Repräsentation/Bewirtung extern])</totalsRowFormula>
    </tableColumn>
    <tableColumn id="9" xr3:uid="{00000000-0010-0000-2600-000009000000}" name="Raum + Unterkunft extern" totalsRowFunction="custom" dataDxfId="1069" totalsRowDxfId="409">
      <totalsRowFormula>SUBTOTAL(9,Tabelle410232731[Raum + Unterkunft extern])</totalsRowFormula>
    </tableColumn>
    <tableColumn id="10" xr3:uid="{00000000-0010-0000-2600-00000A000000}" name="Verwaltungs- und Druckkosten" totalsRowFunction="custom" dataDxfId="1068" totalsRowDxfId="408">
      <totalsRowFormula>SUBTOTAL(9,Tabelle410232731[Verwaltungs- und Druckkosten])</totalsRowFormula>
    </tableColumn>
    <tableColumn id="11" xr3:uid="{00000000-0010-0000-2600-00000B000000}" name="Gesamt" totalsRowFunction="custom" dataDxfId="1067" totalsRowDxfId="407">
      <totalsRowFormula>SUBTOTAL(9,Tabelle410232731[Gesamt])</totalsRowFormula>
    </tableColumn>
  </tableColumns>
  <tableStyleInfo name="TableStyleLight1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27000000}" name="Tabelle513242832" displayName="Tabelle513242832" ref="R61:AF74" totalsRowCount="1" headerRowDxfId="1066" dataDxfId="1065" totalsRowDxfId="1064">
  <autoFilter ref="R61:AF73" xr:uid="{00000000-0009-0000-0100-00001F000000}"/>
  <tableColumns count="15">
    <tableColumn id="14" xr3:uid="{00000000-0010-0000-2700-00000E000000}" name="Lfd. Nr." dataDxfId="1063" totalsRowDxfId="406">
      <calculatedColumnFormula>ROW(A1)</calculatedColumnFormula>
    </tableColumn>
    <tableColumn id="1" xr3:uid="{00000000-0010-0000-2700-000001000000}" name="Beschreibung" totalsRowLabel="Gesamt:  " dataDxfId="1062" totalsRowDxfId="405"/>
    <tableColumn id="2" xr3:uid="{00000000-0010-0000-2700-000002000000}" name="Teilnahmebeiträge Veranstaltungen" totalsRowFunction="custom" dataDxfId="1061" totalsRowDxfId="404">
      <totalsRowFormula>SUBTOTAL(9,Tabelle513242832[Teilnahmebeiträge Veranstaltungen])</totalsRowFormula>
    </tableColumn>
    <tableColumn id="3" xr3:uid="{00000000-0010-0000-2700-000003000000}" name="Sonstige Einnahmen" totalsRowFunction="custom" dataDxfId="1060" totalsRowDxfId="403">
      <totalsRowFormula>SUBTOTAL(9,Tabelle513242832[Sonstige Einnahmen])</totalsRowFormula>
    </tableColumn>
    <tableColumn id="4" xr3:uid="{00000000-0010-0000-2700-000004000000}" name="Aufwandsentschädigungen" totalsRowFunction="custom" dataDxfId="1059" totalsRowDxfId="402">
      <totalsRowFormula>SUBTOTAL(9,Tabelle513242832[Aufwandsentschädigungen])</totalsRowFormula>
    </tableColumn>
    <tableColumn id="5" xr3:uid="{00000000-0010-0000-2700-000005000000}" name="Interne Reisekosten" totalsRowFunction="custom" dataDxfId="1058" totalsRowDxfId="401">
      <totalsRowFormula>SUBTOTAL(9,Tabelle513242832[Interne Reisekosten])</totalsRowFormula>
    </tableColumn>
    <tableColumn id="6" xr3:uid="{00000000-0010-0000-2700-000006000000}" name="Raum + Unterkunft intern" totalsRowFunction="custom" dataDxfId="1057" totalsRowDxfId="400">
      <totalsRowFormula>SUBTOTAL(9,Tabelle513242832[Raum + Unterkunft intern])</totalsRowFormula>
    </tableColumn>
    <tableColumn id="7" xr3:uid="{00000000-0010-0000-2700-000007000000}" name="Repräsentation/Bewirtung intern" totalsRowFunction="custom" dataDxfId="1056" totalsRowDxfId="399">
      <totalsRowFormula>SUBTOTAL(9,Tabelle513242832[Repräsentation/Bewirtung intern])</totalsRowFormula>
    </tableColumn>
    <tableColumn id="8" xr3:uid="{00000000-0010-0000-2700-000008000000}" name="Repräsentation/Bewirtung extern" totalsRowFunction="custom" dataDxfId="1055" totalsRowDxfId="398">
      <totalsRowFormula>SUBTOTAL(9,Tabelle513242832[Repräsentation/Bewirtung extern])</totalsRowFormula>
    </tableColumn>
    <tableColumn id="9" xr3:uid="{00000000-0010-0000-2700-000009000000}" name="Raum + Unterkunft extern" totalsRowFunction="custom" dataDxfId="1054" totalsRowDxfId="397">
      <totalsRowFormula>SUBTOTAL(9,Tabelle513242832[Raum + Unterkunft extern])</totalsRowFormula>
    </tableColumn>
    <tableColumn id="10" xr3:uid="{00000000-0010-0000-2700-00000A000000}" name="Druckkosten" totalsRowFunction="custom" dataDxfId="1053" totalsRowDxfId="396">
      <totalsRowFormula>SUBTOTAL(9,Tabelle513242832[Druckkosten])</totalsRowFormula>
    </tableColumn>
    <tableColumn id="11" xr3:uid="{00000000-0010-0000-2700-00000B000000}" name="Sonstige Kosten" totalsRowFunction="custom" dataDxfId="1052" totalsRowDxfId="395">
      <totalsRowFormula>SUBTOTAL(9,Tabelle513242832[Sonstige Kosten])</totalsRowFormula>
    </tableColumn>
    <tableColumn id="12" xr3:uid="{00000000-0010-0000-2700-00000C000000}" name="Rechtsangelegenheiten" totalsRowFunction="custom" dataDxfId="1051" totalsRowDxfId="394">
      <totalsRowFormula>SUBTOTAL(9,Tabelle513242832[Rechtsangelegenheiten])</totalsRowFormula>
    </tableColumn>
    <tableColumn id="15" xr3:uid="{00000000-0010-0000-2700-00000F000000}" name="Andere Honorare" totalsRowFunction="sum" dataDxfId="1050" totalsRowDxfId="393"/>
    <tableColumn id="13" xr3:uid="{00000000-0010-0000-2700-00000D000000}" name="Gesamt" totalsRowFunction="custom" dataDxfId="1049" totalsRowDxfId="392">
      <calculatedColumnFormula>SUM(T62+U62)-SUM(W62:AE62)</calculatedColumnFormula>
      <totalsRowFormula>SUBTOTAL(9,Tabelle513242832[Gesamt])</totalsRowFormula>
    </tableColumn>
  </tableColumns>
  <tableStyleInfo name="TableStyleLight16"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8000000}" name="Tabelle615252933" displayName="Tabelle615252933" ref="R79:Z89" totalsRowCount="1" headerRowDxfId="1048" dataDxfId="1047" totalsRowDxfId="1046" dataCellStyle="Link">
  <autoFilter ref="R79:Z88" xr:uid="{00000000-0009-0000-0100-000020000000}"/>
  <tableColumns count="9">
    <tableColumn id="1" xr3:uid="{00000000-0010-0000-2800-000001000000}" name="Lfd. Nr. " dataDxfId="1045" totalsRowDxfId="427">
      <calculatedColumnFormula>ROW(A1)</calculatedColumnFormula>
    </tableColumn>
    <tableColumn id="8" xr3:uid="{00000000-0010-0000-2800-000008000000}" name="Sitzung/Tätigkeit" dataDxfId="1044" totalsRowDxfId="426"/>
    <tableColumn id="9" xr3:uid="{00000000-0010-0000-2800-000009000000}" name="Ort oder Datum (falls bekannt)" dataDxfId="1043" totalsRowDxfId="425"/>
    <tableColumn id="7" xr3:uid="{00000000-0010-0000-2800-000007000000}" name="Art" totalsRowLabel="Gesamt:  " dataDxfId="1042" totalsRowDxfId="424"/>
    <tableColumn id="2" xr3:uid="{00000000-0010-0000-2800-000002000000}" name="Aufwandsentschädigungen" totalsRowFunction="custom" dataDxfId="1041" totalsRowDxfId="423" dataCellStyle="Link">
      <totalsRowFormula>SUBTOTAL(9,Tabelle615252933[Aufwandsentschädigungen])</totalsRowFormula>
    </tableColumn>
    <tableColumn id="3" xr3:uid="{00000000-0010-0000-2800-000003000000}" name="Interne Reisekosten" totalsRowFunction="custom" dataDxfId="1040" totalsRowDxfId="422" dataCellStyle="Link">
      <totalsRowFormula>SUBTOTAL(9,Tabelle615252933[Interne Reisekosten])</totalsRowFormula>
    </tableColumn>
    <tableColumn id="4" xr3:uid="{00000000-0010-0000-2800-000004000000}" name="Raum + Unterkunft intern" totalsRowFunction="custom" dataDxfId="1039" totalsRowDxfId="421" dataCellStyle="Link">
      <totalsRowFormula>SUBTOTAL(9,Tabelle615252933[Raum + Unterkunft intern])</totalsRowFormula>
    </tableColumn>
    <tableColumn id="5" xr3:uid="{00000000-0010-0000-2800-000005000000}" name="Repräsentation/Bewirtung intern" totalsRowFunction="custom" dataDxfId="1038" totalsRowDxfId="420" dataCellStyle="Link">
      <totalsRowFormula>SUBTOTAL(9,Tabelle615252933[Repräsentation/Bewirtung intern])</totalsRowFormula>
    </tableColumn>
    <tableColumn id="6" xr3:uid="{00000000-0010-0000-2800-000006000000}" name="Gesamt" totalsRowFunction="custom" dataDxfId="1037" totalsRowDxfId="419">
      <totalsRowFormula>SUBTOTAL(9,Tabelle615252933[Gesamt])</totalsRowFormula>
    </tableColumn>
  </tableColumns>
  <tableStyleInfo name="TableStyleLight2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9000000}" name="Tabelle1822263034" displayName="Tabelle1822263034" ref="A3:N23" totalsRowCount="1" headerRowDxfId="1036" dataDxfId="1034" totalsRowDxfId="1032" headerRowBorderDxfId="1035" tableBorderDxfId="1033">
  <autoFilter ref="A3:N22" xr:uid="{00000000-0009-0000-0100-000021000000}"/>
  <tableColumns count="14">
    <tableColumn id="1" xr3:uid="{00000000-0010-0000-2900-000001000000}" name="Titel" dataDxfId="1031" totalsRowDxfId="391"/>
    <tableColumn id="2" xr3:uid="{00000000-0010-0000-2900-000002000000}" name="Kontenbezeichnung" dataDxfId="1030" totalsRowDxfId="390"/>
    <tableColumn id="3" xr3:uid="{00000000-0010-0000-2900-000003000000}" name="-" dataDxfId="1029" totalsRowDxfId="389"/>
    <tableColumn id="4" xr3:uid="{00000000-0010-0000-2900-000004000000}" name="Erläuterung" totalsRowLabel="Gesamt:" dataDxfId="1028" totalsRowDxfId="388"/>
    <tableColumn id="12" xr3:uid="{00000000-0010-0000-2900-00000C000000}" name="Freie Eingabe Plan HHJ 24-25" totalsRowFunction="sum" dataDxfId="1027" totalsRowDxfId="387"/>
    <tableColumn id="11" xr3:uid="{00000000-0010-0000-2900-00000B000000}" name="Spalte1" dataDxfId="1026" totalsRowDxfId="386"/>
    <tableColumn id="10" xr3:uid="{00000000-0010-0000-2900-00000A000000}" name="Freie Eingabe Plan HHJ 23-24" totalsRowFunction="custom" dataDxfId="1025" totalsRowDxfId="385">
      <totalsRowFormula>SUBTOTAL(109,G10:G22)</totalsRowFormula>
    </tableColumn>
    <tableColumn id="6" xr3:uid="{00000000-0010-0000-2900-000006000000}" name="Rechnung HHJ 23-24" totalsRowFunction="custom" dataDxfId="1024" totalsRowDxfId="384">
      <totalsRowFormula>SUBTOTAL(109,H11:H22)</totalsRowFormula>
    </tableColumn>
    <tableColumn id="15" xr3:uid="{00000000-0010-0000-2900-00000F000000}" name="Freie Eingabe Plan HHJ 22-232" totalsRowFunction="custom" dataDxfId="1023" totalsRowDxfId="383">
      <totalsRowFormula>SUBTOTAL(109,I10:I22)</totalsRowFormula>
    </tableColumn>
    <tableColumn id="13" xr3:uid="{00000000-0010-0000-2900-00000D000000}" name="Rechnung HHJ 22-233" totalsRowFunction="custom" dataDxfId="1022" totalsRowDxfId="382">
      <totalsRowFormula>SUBTOTAL(109,J10:J22)</totalsRowFormula>
    </tableColumn>
    <tableColumn id="5" xr3:uid="{00000000-0010-0000-2900-000005000000}" name="Freie Eingabe Plan HHJ 21-22" totalsRowFunction="custom" dataDxfId="1021" totalsRowDxfId="381">
      <totalsRowFormula>SUBTOTAL(109,K10:K22)</totalsRowFormula>
    </tableColumn>
    <tableColumn id="7" xr3:uid="{00000000-0010-0000-2900-000007000000}" name="IST HHJ 21-22" totalsRowFunction="custom" dataDxfId="1020" totalsRowDxfId="380">
      <totalsRowFormula>SUBTOTAL(109,L10:L22)</totalsRowFormula>
    </tableColumn>
    <tableColumn id="8" xr3:uid="{00000000-0010-0000-2900-000008000000}" name="Abschluss 20-21" dataDxfId="1019" totalsRowDxfId="379"/>
    <tableColumn id="9" xr3:uid="{00000000-0010-0000-2900-000009000000}" name="Plan HHJ 20-21" dataDxfId="1018" totalsRowDxfId="378"/>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2A000000}" name="Tabelle41023273160" displayName="Tabelle41023273160" ref="A44:L56" totalsRowCount="1" headerRowDxfId="1017" dataDxfId="1016" totalsRowDxfId="1015">
  <autoFilter ref="A44:L55" xr:uid="{00000000-0009-0000-0100-00003B000000}"/>
  <tableColumns count="12">
    <tableColumn id="13" xr3:uid="{00000000-0010-0000-2A00-00000D000000}" name="Lfd. Nr." dataDxfId="1014" totalsRowDxfId="368">
      <calculatedColumnFormula>ROW(#REF!)</calculatedColumnFormula>
    </tableColumn>
    <tableColumn id="1" xr3:uid="{00000000-0010-0000-2A00-000001000000}" name="Beschreibung/ Kurzbezeichnung" totalsRowLabel="Gesamt:  " dataDxfId="1013" totalsRowDxfId="367"/>
    <tableColumn id="2" xr3:uid="{00000000-0010-0000-2A00-000002000000}" name="Teilnahmebeiträge Fachseminare" totalsRowFunction="custom" dataDxfId="1012" totalsRowDxfId="366">
      <totalsRowFormula>SUBTOTAL(9,Tabelle41023273160[Teilnahmebeiträge Fachseminare])</totalsRowFormula>
    </tableColumn>
    <tableColumn id="3" xr3:uid="{00000000-0010-0000-2A00-000003000000}" name="Teilnahmebeiträge Veranstaltungen" totalsRowFunction="custom" dataDxfId="1011" totalsRowDxfId="365">
      <totalsRowFormula>SUBTOTAL(9,Tabelle41023273160[Teilnahmebeiträge Veranstaltungen])</totalsRowFormula>
    </tableColumn>
    <tableColumn id="4" xr3:uid="{00000000-0010-0000-2A00-000004000000}" name="Sonstige Einnahmen" totalsRowFunction="custom" dataDxfId="1010" totalsRowDxfId="364">
      <totalsRowFormula>SUBTOTAL(9,Tabelle41023273160[Sonstige Einnahmen])</totalsRowFormula>
    </tableColumn>
    <tableColumn id="5" xr3:uid="{00000000-0010-0000-2A00-000005000000}" name="Honorare Dozierende Fachseminare" totalsRowFunction="custom" dataDxfId="1009" totalsRowDxfId="363">
      <totalsRowFormula>SUBTOTAL(9,Tabelle41023273160[Honorare Dozierende Fachseminare])</totalsRowFormula>
    </tableColumn>
    <tableColumn id="6" xr3:uid="{00000000-0010-0000-2A00-000006000000}" name="Aufwandsentschädigungen" totalsRowFunction="custom" dataDxfId="1008" totalsRowDxfId="362">
      <totalsRowFormula>SUBTOTAL(9,Tabelle41023273160[Aufwandsentschädigungen])</totalsRowFormula>
    </tableColumn>
    <tableColumn id="7" xr3:uid="{00000000-0010-0000-2A00-000007000000}" name="Externe Reisekosten" totalsRowFunction="custom" dataDxfId="1007" totalsRowDxfId="361">
      <totalsRowFormula>SUBTOTAL(9,Tabelle41023273160[Externe Reisekosten])</totalsRowFormula>
    </tableColumn>
    <tableColumn id="8" xr3:uid="{00000000-0010-0000-2A00-000008000000}" name="Repräsentation/Bewirtung extern" totalsRowFunction="custom" dataDxfId="1006" totalsRowDxfId="360">
      <totalsRowFormula>SUBTOTAL(9,Tabelle41023273160[Repräsentation/Bewirtung extern])</totalsRowFormula>
    </tableColumn>
    <tableColumn id="9" xr3:uid="{00000000-0010-0000-2A00-000009000000}" name="Raum + Unterkunft extern" totalsRowFunction="custom" dataDxfId="1005" totalsRowDxfId="359">
      <totalsRowFormula>SUBTOTAL(9,Tabelle41023273160[Raum + Unterkunft extern])</totalsRowFormula>
    </tableColumn>
    <tableColumn id="10" xr3:uid="{00000000-0010-0000-2A00-00000A000000}" name="Verwaltungs- und Druckkosten" totalsRowFunction="custom" dataDxfId="1004" totalsRowDxfId="358">
      <totalsRowFormula>SUBTOTAL(9,Tabelle41023273160[Verwaltungs- und Druckkosten])</totalsRowFormula>
    </tableColumn>
    <tableColumn id="11" xr3:uid="{00000000-0010-0000-2A00-00000B000000}" name="Gesamt" totalsRowFunction="custom" dataDxfId="1003" totalsRowDxfId="357">
      <totalsRowFormula>SUBTOTAL(9,Tabelle41023273160[Gesamt])</totalsRowFormula>
    </tableColumn>
  </tableColumns>
  <tableStyleInfo name="TableStyleLight1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2B000000}" name="Tabelle51324283261" displayName="Tabelle51324283261" ref="A61:O74" totalsRowCount="1" headerRowDxfId="1002" dataDxfId="1001" totalsRowDxfId="1000">
  <autoFilter ref="A61:O73" xr:uid="{00000000-0009-0000-0100-00003C000000}"/>
  <tableColumns count="15">
    <tableColumn id="14" xr3:uid="{00000000-0010-0000-2B00-00000E000000}" name="Lfd. Nr." dataDxfId="999" totalsRowDxfId="356">
      <calculatedColumnFormula>ROW(A1)</calculatedColumnFormula>
    </tableColumn>
    <tableColumn id="1" xr3:uid="{00000000-0010-0000-2B00-000001000000}" name="Beschreibung" totalsRowLabel="Gesamt:  " dataDxfId="998" totalsRowDxfId="355"/>
    <tableColumn id="2" xr3:uid="{00000000-0010-0000-2B00-000002000000}" name="Teilnahmebeiträge Veranstaltungen" totalsRowFunction="custom" dataDxfId="997" totalsRowDxfId="354">
      <totalsRowFormula>SUBTOTAL(9,Tabelle51324283261[Teilnahmebeiträge Veranstaltungen])</totalsRowFormula>
    </tableColumn>
    <tableColumn id="3" xr3:uid="{00000000-0010-0000-2B00-000003000000}" name="Sonstige Einnahmen" totalsRowFunction="custom" dataDxfId="996" totalsRowDxfId="353">
      <totalsRowFormula>SUBTOTAL(9,Tabelle51324283261[Sonstige Einnahmen])</totalsRowFormula>
    </tableColumn>
    <tableColumn id="4" xr3:uid="{00000000-0010-0000-2B00-000004000000}" name="Aufwandsentschädigungen" totalsRowFunction="custom" dataDxfId="995" totalsRowDxfId="352">
      <totalsRowFormula>SUBTOTAL(9,Tabelle51324283261[Aufwandsentschädigungen])</totalsRowFormula>
    </tableColumn>
    <tableColumn id="5" xr3:uid="{00000000-0010-0000-2B00-000005000000}" name="Interne Reisekosten" totalsRowFunction="custom" dataDxfId="994" totalsRowDxfId="351">
      <totalsRowFormula>SUBTOTAL(9,Tabelle51324283261[Interne Reisekosten])</totalsRowFormula>
    </tableColumn>
    <tableColumn id="6" xr3:uid="{00000000-0010-0000-2B00-000006000000}" name="Raum + Unterkunft intern" totalsRowFunction="custom" dataDxfId="993" totalsRowDxfId="350">
      <totalsRowFormula>SUBTOTAL(9,Tabelle51324283261[Raum + Unterkunft intern])</totalsRowFormula>
    </tableColumn>
    <tableColumn id="7" xr3:uid="{00000000-0010-0000-2B00-000007000000}" name="Repräsentation/Bewirtung intern" totalsRowFunction="custom" dataDxfId="992" totalsRowDxfId="349">
      <totalsRowFormula>SUBTOTAL(9,Tabelle51324283261[Repräsentation/Bewirtung intern])</totalsRowFormula>
    </tableColumn>
    <tableColumn id="8" xr3:uid="{00000000-0010-0000-2B00-000008000000}" name="Repräsentation/Bewirtung extern" totalsRowFunction="custom" dataDxfId="991" totalsRowDxfId="348">
      <totalsRowFormula>SUBTOTAL(9,Tabelle51324283261[Repräsentation/Bewirtung extern])</totalsRowFormula>
    </tableColumn>
    <tableColumn id="9" xr3:uid="{00000000-0010-0000-2B00-000009000000}" name="Raum + Unterkunft extern" totalsRowFunction="custom" dataDxfId="990" totalsRowDxfId="347">
      <totalsRowFormula>SUBTOTAL(9,Tabelle51324283261[Raum + Unterkunft extern])</totalsRowFormula>
    </tableColumn>
    <tableColumn id="10" xr3:uid="{00000000-0010-0000-2B00-00000A000000}" name="Druckkosten" totalsRowFunction="custom" dataDxfId="989" totalsRowDxfId="346">
      <totalsRowFormula>SUBTOTAL(9,Tabelle51324283261[Druckkosten])</totalsRowFormula>
    </tableColumn>
    <tableColumn id="11" xr3:uid="{00000000-0010-0000-2B00-00000B000000}" name="Sonstige Kosten" totalsRowFunction="custom" dataDxfId="988" totalsRowDxfId="345">
      <totalsRowFormula>SUBTOTAL(9,Tabelle51324283261[Sonstige Kosten])</totalsRowFormula>
    </tableColumn>
    <tableColumn id="12" xr3:uid="{00000000-0010-0000-2B00-00000C000000}" name="Rechtsangelegenheiten" totalsRowFunction="custom" dataDxfId="987" totalsRowDxfId="344">
      <totalsRowFormula>SUBTOTAL(9,Tabelle51324283261[Rechtsangelegenheiten])</totalsRowFormula>
    </tableColumn>
    <tableColumn id="15" xr3:uid="{00000000-0010-0000-2B00-00000F000000}" name="Andere Honorare" totalsRowFunction="sum" dataDxfId="986" totalsRowDxfId="343"/>
    <tableColumn id="13" xr3:uid="{00000000-0010-0000-2B00-00000D000000}" name="Gesamt" totalsRowFunction="custom" dataDxfId="985" totalsRowDxfId="342">
      <calculatedColumnFormula>SUM(C62+D62)-SUM(F62:N62)</calculatedColumnFormula>
      <totalsRowFormula>SUBTOTAL(9,Tabelle51324283261[Gesamt])</totalsRowFormula>
    </tableColumn>
  </tableColumns>
  <tableStyleInfo name="TableStyleLight16"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2C000000}" name="Tabelle61525293362" displayName="Tabelle61525293362" ref="A79:I89" totalsRowCount="1" headerRowDxfId="984" dataDxfId="983" totalsRowDxfId="982" dataCellStyle="Link">
  <autoFilter ref="A79:I88" xr:uid="{00000000-0009-0000-0100-00003D000000}"/>
  <tableColumns count="9">
    <tableColumn id="1" xr3:uid="{00000000-0010-0000-2C00-000001000000}" name="Lfd. Nr. " dataDxfId="981" totalsRowDxfId="377">
      <calculatedColumnFormula>ROW(A1)</calculatedColumnFormula>
    </tableColumn>
    <tableColumn id="8" xr3:uid="{00000000-0010-0000-2C00-000008000000}" name="Sitzung/Tätigkeit" dataDxfId="980" totalsRowDxfId="376"/>
    <tableColumn id="9" xr3:uid="{00000000-0010-0000-2C00-000009000000}" name="Ort oder Datum (falls bekannt)" dataDxfId="979" totalsRowDxfId="375"/>
    <tableColumn id="7" xr3:uid="{00000000-0010-0000-2C00-000007000000}" name="Art" totalsRowLabel="Gesamt:  " dataDxfId="978" totalsRowDxfId="374"/>
    <tableColumn id="2" xr3:uid="{00000000-0010-0000-2C00-000002000000}" name="Aufwandsentschädigungen" totalsRowFunction="custom" dataDxfId="977" totalsRowDxfId="373" dataCellStyle="Link">
      <totalsRowFormula>SUBTOTAL(9,Tabelle61525293362[Aufwandsentschädigungen])</totalsRowFormula>
    </tableColumn>
    <tableColumn id="3" xr3:uid="{00000000-0010-0000-2C00-000003000000}" name="Interne Reisekosten" totalsRowFunction="custom" dataDxfId="976" totalsRowDxfId="372" dataCellStyle="Link">
      <totalsRowFormula>SUBTOTAL(9,Tabelle61525293362[Interne Reisekosten])</totalsRowFormula>
    </tableColumn>
    <tableColumn id="4" xr3:uid="{00000000-0010-0000-2C00-000004000000}" name="Raum + Unterkunft intern" totalsRowFunction="custom" dataDxfId="975" totalsRowDxfId="371" dataCellStyle="Link">
      <totalsRowFormula>SUBTOTAL(9,Tabelle61525293362[Raum + Unterkunft intern])</totalsRowFormula>
    </tableColumn>
    <tableColumn id="5" xr3:uid="{00000000-0010-0000-2C00-000005000000}" name="Repräsentation/Bewirtung intern" totalsRowFunction="custom" dataDxfId="974" totalsRowDxfId="370" dataCellStyle="Link">
      <totalsRowFormula>SUBTOTAL(9,Tabelle61525293362[Repräsentation/Bewirtung intern])</totalsRowFormula>
    </tableColumn>
    <tableColumn id="6" xr3:uid="{00000000-0010-0000-2C00-000006000000}" name="Gesamt" totalsRowFunction="custom" dataDxfId="973" totalsRowDxfId="369">
      <totalsRowFormula>SUBTOTAL(9,Tabelle61525293362[Gesamt])</totalsRowFormula>
    </tableColumn>
  </tableColumns>
  <tableStyleInfo name="TableStyleLight2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2D000000}" name="Tabelle4102327" displayName="Tabelle4102327" ref="R35:AC48" totalsRowCount="1" headerRowDxfId="972" dataDxfId="971" totalsRowDxfId="970">
  <autoFilter ref="R35:AC47" xr:uid="{00000000-0009-0000-0100-00001A000000}"/>
  <tableColumns count="12">
    <tableColumn id="13" xr3:uid="{00000000-0010-0000-2D00-00000D000000}" name="Lfd. Nr." dataDxfId="969" totalsRowDxfId="332">
      <calculatedColumnFormula>ROW(A1)</calculatedColumnFormula>
    </tableColumn>
    <tableColumn id="1" xr3:uid="{00000000-0010-0000-2D00-000001000000}" name="Beschreibung/ Kurzbezeichnung" totalsRowLabel="Gesamt:  " dataDxfId="968" totalsRowDxfId="331"/>
    <tableColumn id="2" xr3:uid="{00000000-0010-0000-2D00-000002000000}" name="Teilnahmebeiträge Fachseminare" totalsRowFunction="custom" dataDxfId="967" totalsRowDxfId="330">
      <totalsRowFormula>SUBTOTAL(9,Tabelle4102327[Teilnahmebeiträge Fachseminare])</totalsRowFormula>
    </tableColumn>
    <tableColumn id="3" xr3:uid="{00000000-0010-0000-2D00-000003000000}" name="Teilnahmebeiträge Veranstaltungen" totalsRowFunction="custom" dataDxfId="966" totalsRowDxfId="329">
      <totalsRowFormula>SUBTOTAL(9,Tabelle4102327[Teilnahmebeiträge Veranstaltungen])</totalsRowFormula>
    </tableColumn>
    <tableColumn id="4" xr3:uid="{00000000-0010-0000-2D00-000004000000}" name="Sonstige Einnahmen" totalsRowFunction="custom" dataDxfId="965" totalsRowDxfId="328">
      <totalsRowFormula>SUBTOTAL(9,Tabelle4102327[Sonstige Einnahmen])</totalsRowFormula>
    </tableColumn>
    <tableColumn id="5" xr3:uid="{00000000-0010-0000-2D00-000005000000}" name="Honorare Dozierende Fachseminare" totalsRowFunction="custom" dataDxfId="964" totalsRowDxfId="327">
      <totalsRowFormula>SUBTOTAL(9,Tabelle4102327[Honorare Dozierende Fachseminare])</totalsRowFormula>
    </tableColumn>
    <tableColumn id="6" xr3:uid="{00000000-0010-0000-2D00-000006000000}" name="Aufwandsentschädigungen" totalsRowFunction="custom" dataDxfId="963" totalsRowDxfId="326">
      <totalsRowFormula>SUBTOTAL(9,Tabelle4102327[Aufwandsentschädigungen])</totalsRowFormula>
    </tableColumn>
    <tableColumn id="7" xr3:uid="{00000000-0010-0000-2D00-000007000000}" name="Externe Reisekosten" totalsRowFunction="custom" dataDxfId="962" totalsRowDxfId="325">
      <totalsRowFormula>SUBTOTAL(9,Tabelle4102327[Externe Reisekosten])</totalsRowFormula>
    </tableColumn>
    <tableColumn id="8" xr3:uid="{00000000-0010-0000-2D00-000008000000}" name="Repräsentation/Bewirtung extern" totalsRowFunction="custom" dataDxfId="961" totalsRowDxfId="324">
      <totalsRowFormula>SUBTOTAL(9,Tabelle4102327[Repräsentation/Bewirtung extern])</totalsRowFormula>
    </tableColumn>
    <tableColumn id="9" xr3:uid="{00000000-0010-0000-2D00-000009000000}" name="Raum + Unterkunft extern" totalsRowFunction="custom" dataDxfId="960" totalsRowDxfId="323">
      <totalsRowFormula>SUBTOTAL(9,Tabelle4102327[Raum + Unterkunft extern])</totalsRowFormula>
    </tableColumn>
    <tableColumn id="10" xr3:uid="{00000000-0010-0000-2D00-00000A000000}" name="Verwaltungs- und Druckkosten" totalsRowFunction="custom" dataDxfId="959" totalsRowDxfId="322">
      <totalsRowFormula>SUBTOTAL(9,Tabelle4102327[Verwaltungs- und Druckkosten])</totalsRowFormula>
    </tableColumn>
    <tableColumn id="11" xr3:uid="{00000000-0010-0000-2D00-00000B000000}" name="Gesamt" totalsRowFunction="custom" dataDxfId="958" totalsRowDxfId="321">
      <totalsRowFormula>SUBTOTAL(9,Tabelle4102327[Gesamt])</totalsRowFormula>
    </tableColumn>
  </tableColumns>
  <tableStyleInfo name="TableStyleLight1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2E000000}" name="Tabelle5132428" displayName="Tabelle5132428" ref="R53:AF66" totalsRowCount="1" headerRowDxfId="957" dataDxfId="956" totalsRowDxfId="955">
  <autoFilter ref="R53:AF65" xr:uid="{00000000-0009-0000-0100-00001B000000}"/>
  <tableColumns count="15">
    <tableColumn id="14" xr3:uid="{00000000-0010-0000-2E00-00000E000000}" name="Lfd. Nr." dataDxfId="954" totalsRowDxfId="320">
      <calculatedColumnFormula>ROW(A1)</calculatedColumnFormula>
    </tableColumn>
    <tableColumn id="1" xr3:uid="{00000000-0010-0000-2E00-000001000000}" name="Beschreibung" totalsRowLabel="Gesamt:  " dataDxfId="953" totalsRowDxfId="319"/>
    <tableColumn id="2" xr3:uid="{00000000-0010-0000-2E00-000002000000}" name="Teilnahmebeiträge Veranstaltungen" totalsRowFunction="custom" dataDxfId="952" totalsRowDxfId="318">
      <totalsRowFormula>SUBTOTAL(9,Tabelle5132428[Teilnahmebeiträge Veranstaltungen])</totalsRowFormula>
    </tableColumn>
    <tableColumn id="3" xr3:uid="{00000000-0010-0000-2E00-000003000000}" name="Sonstige Einnahmen" totalsRowFunction="custom" dataDxfId="951" totalsRowDxfId="317">
      <totalsRowFormula>SUBTOTAL(9,Tabelle5132428[Sonstige Einnahmen])</totalsRowFormula>
    </tableColumn>
    <tableColumn id="4" xr3:uid="{00000000-0010-0000-2E00-000004000000}" name="Aufwandsentschädigungen" totalsRowFunction="custom" dataDxfId="950" totalsRowDxfId="316">
      <totalsRowFormula>SUBTOTAL(9,Tabelle5132428[Aufwandsentschädigungen])</totalsRowFormula>
    </tableColumn>
    <tableColumn id="5" xr3:uid="{00000000-0010-0000-2E00-000005000000}" name="Interne Reisekosten" totalsRowFunction="custom" dataDxfId="949" totalsRowDxfId="315">
      <totalsRowFormula>SUBTOTAL(9,Tabelle5132428[Interne Reisekosten])</totalsRowFormula>
    </tableColumn>
    <tableColumn id="6" xr3:uid="{00000000-0010-0000-2E00-000006000000}" name="Raum + Unterkunft intern" totalsRowFunction="custom" dataDxfId="948" totalsRowDxfId="314">
      <totalsRowFormula>SUBTOTAL(9,Tabelle5132428[Raum + Unterkunft intern])</totalsRowFormula>
    </tableColumn>
    <tableColumn id="7" xr3:uid="{00000000-0010-0000-2E00-000007000000}" name="Repräsentation/Bewirtung intern" totalsRowFunction="custom" dataDxfId="947" totalsRowDxfId="313">
      <totalsRowFormula>SUBTOTAL(9,Tabelle5132428[Repräsentation/Bewirtung intern])</totalsRowFormula>
    </tableColumn>
    <tableColumn id="8" xr3:uid="{00000000-0010-0000-2E00-000008000000}" name="Repräsentation/Bewirtung extern" totalsRowFunction="custom" dataDxfId="946" totalsRowDxfId="312">
      <totalsRowFormula>SUBTOTAL(9,Tabelle5132428[Repräsentation/Bewirtung extern])</totalsRowFormula>
    </tableColumn>
    <tableColumn id="9" xr3:uid="{00000000-0010-0000-2E00-000009000000}" name="Raum + Unterkunft extern" totalsRowFunction="custom" dataDxfId="945" totalsRowDxfId="311">
      <totalsRowFormula>SUBTOTAL(9,Tabelle5132428[Raum + Unterkunft extern])</totalsRowFormula>
    </tableColumn>
    <tableColumn id="10" xr3:uid="{00000000-0010-0000-2E00-00000A000000}" name="Druckkosten" totalsRowFunction="custom" dataDxfId="944" totalsRowDxfId="310">
      <totalsRowFormula>SUBTOTAL(9,Tabelle5132428[Druckkosten])</totalsRowFormula>
    </tableColumn>
    <tableColumn id="11" xr3:uid="{00000000-0010-0000-2E00-00000B000000}" name="Sonstige Kosten" totalsRowFunction="custom" dataDxfId="943" totalsRowDxfId="309">
      <totalsRowFormula>SUBTOTAL(9,Tabelle5132428[Sonstige Kosten])</totalsRowFormula>
    </tableColumn>
    <tableColumn id="12" xr3:uid="{00000000-0010-0000-2E00-00000C000000}" name="Rechtsangelegenheiten" totalsRowFunction="custom" dataDxfId="942" totalsRowDxfId="308">
      <totalsRowFormula>SUBTOTAL(9,Tabelle5132428[Rechtsangelegenheiten])</totalsRowFormula>
    </tableColumn>
    <tableColumn id="15" xr3:uid="{00000000-0010-0000-2E00-00000F000000}" name="Andere Honorare" totalsRowFunction="sum" dataDxfId="941" totalsRowDxfId="307"/>
    <tableColumn id="13" xr3:uid="{00000000-0010-0000-2E00-00000D000000}" name="Gesamt" totalsRowFunction="custom" dataDxfId="940" totalsRowDxfId="306">
      <totalsRowFormula>SUBTOTAL(9,Tabelle5132428[Gesamt])</totalsRowFormula>
    </tableColumn>
  </tableColumns>
  <tableStyleInfo name="TableStyleLight16"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2F000000}" name="Tabelle6152529" displayName="Tabelle6152529" ref="R71:Z89" totalsRowCount="1" headerRowDxfId="939" dataDxfId="938" totalsRowDxfId="937" dataCellStyle="Link">
  <autoFilter ref="R71:Z88" xr:uid="{00000000-0009-0000-0100-00001C000000}"/>
  <tableColumns count="9">
    <tableColumn id="1" xr3:uid="{00000000-0010-0000-2F00-000001000000}" name="Lfd. Nr. " dataDxfId="936" totalsRowDxfId="341">
      <calculatedColumnFormula>ROW(A1)</calculatedColumnFormula>
    </tableColumn>
    <tableColumn id="8" xr3:uid="{00000000-0010-0000-2F00-000008000000}" name="Sitzung/Tätigkeit" dataDxfId="935" totalsRowDxfId="340"/>
    <tableColumn id="9" xr3:uid="{00000000-0010-0000-2F00-000009000000}" name="Ort oder Datum (falls bekannt)" dataDxfId="934" totalsRowDxfId="339"/>
    <tableColumn id="7" xr3:uid="{00000000-0010-0000-2F00-000007000000}" name="Art" totalsRowLabel="Gesamt:  " dataDxfId="933" totalsRowDxfId="338"/>
    <tableColumn id="2" xr3:uid="{00000000-0010-0000-2F00-000002000000}" name="Aufwandsentschädigungen" totalsRowFunction="custom" dataDxfId="932" totalsRowDxfId="337" dataCellStyle="Link">
      <totalsRowFormula>SUBTOTAL(9,Tabelle6152529[Aufwandsentschädigungen])</totalsRowFormula>
    </tableColumn>
    <tableColumn id="3" xr3:uid="{00000000-0010-0000-2F00-000003000000}" name="Interne Reisekosten" totalsRowFunction="custom" dataDxfId="931" totalsRowDxfId="336" dataCellStyle="Link">
      <totalsRowFormula>SUBTOTAL(9,Tabelle6152529[Interne Reisekosten])</totalsRowFormula>
    </tableColumn>
    <tableColumn id="4" xr3:uid="{00000000-0010-0000-2F00-000004000000}" name="Raum + Unterkunft intern" totalsRowFunction="custom" dataDxfId="930" totalsRowDxfId="335" dataCellStyle="Link">
      <totalsRowFormula>SUBTOTAL(9,Tabelle6152529[Raum + Unterkunft intern])</totalsRowFormula>
    </tableColumn>
    <tableColumn id="5" xr3:uid="{00000000-0010-0000-2F00-000005000000}" name="Repräsentation/Bewirtung intern" totalsRowFunction="custom" dataDxfId="929" totalsRowDxfId="334" dataCellStyle="Link">
      <totalsRowFormula>SUBTOTAL(9,Tabelle6152529[Repräsentation/Bewirtung intern])</totalsRowFormula>
    </tableColumn>
    <tableColumn id="6" xr3:uid="{00000000-0010-0000-2F00-000006000000}" name="Gesamt" totalsRowFunction="custom" dataDxfId="928" totalsRowDxfId="333">
      <totalsRowFormula>SUBTOTAL(9,Tabelle6152529[Gesamt])</totalsRowFormula>
    </tableColumn>
  </tableColumns>
  <tableStyleInfo name="TableStyleLight2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30000000}" name="Tabelle18222630" displayName="Tabelle18222630" ref="A3:L23" totalsRowCount="1" headerRowDxfId="927" dataDxfId="925" totalsRowDxfId="923" headerRowBorderDxfId="926" tableBorderDxfId="924">
  <autoFilter ref="A3:L22" xr:uid="{00000000-0009-0000-0100-00001D000000}"/>
  <tableColumns count="12">
    <tableColumn id="1" xr3:uid="{00000000-0010-0000-3000-000001000000}" name="Titel" dataDxfId="922" totalsRowDxfId="305"/>
    <tableColumn id="2" xr3:uid="{00000000-0010-0000-3000-000002000000}" name="Kontenbezeichnung" dataDxfId="921" totalsRowDxfId="304"/>
    <tableColumn id="3" xr3:uid="{00000000-0010-0000-3000-000003000000}" name="-" dataDxfId="920" totalsRowDxfId="303"/>
    <tableColumn id="4" xr3:uid="{00000000-0010-0000-3000-000004000000}" name="Erläuterung" totalsRowLabel="Gesamt:" dataDxfId="919" totalsRowDxfId="302"/>
    <tableColumn id="10" xr3:uid="{00000000-0010-0000-3000-00000A000000}" name="Freie Eingabe Plan HHJ 23-24" totalsRowFunction="custom" dataDxfId="918" totalsRowDxfId="301">
      <totalsRowFormula>SUBTOTAL(109,E10:E22)</totalsRowFormula>
    </tableColumn>
    <tableColumn id="6" xr3:uid="{00000000-0010-0000-3000-000006000000}" name="Rechnung HHJ 23-24" totalsRowFunction="custom" dataDxfId="917" totalsRowDxfId="300">
      <totalsRowFormula>SUBTOTAL(109,F10:F22)</totalsRowFormula>
    </tableColumn>
    <tableColumn id="13" xr3:uid="{00000000-0010-0000-3000-00000D000000}" name="Freie Eingabe Plan HHJ 22-232" totalsRowFunction="custom" dataDxfId="916" totalsRowDxfId="299">
      <totalsRowFormula>SUBTOTAL(109,G10:G22)</totalsRowFormula>
    </tableColumn>
    <tableColumn id="11" xr3:uid="{00000000-0010-0000-3000-00000B000000}" name="Rechnung HHJ 22-233" totalsRowFunction="custom" dataDxfId="915" totalsRowDxfId="298">
      <totalsRowFormula>SUBTOTAL(109,H10:H22)</totalsRowFormula>
    </tableColumn>
    <tableColumn id="5" xr3:uid="{00000000-0010-0000-3000-000005000000}" name="Freie Eingabe Plan HHJ 21-22" totalsRowFunction="custom" dataDxfId="914" totalsRowDxfId="297">
      <totalsRowFormula>SUBTOTAL(109,I10:I22)</totalsRowFormula>
    </tableColumn>
    <tableColumn id="7" xr3:uid="{00000000-0010-0000-3000-000007000000}" name="IST HHJ 21-22" totalsRowFunction="custom" dataDxfId="913" totalsRowDxfId="296">
      <totalsRowFormula>SUBTOTAL(109,J10:J22)</totalsRowFormula>
    </tableColumn>
    <tableColumn id="8" xr3:uid="{00000000-0010-0000-3000-000008000000}" name="Abschluss 20-21" dataDxfId="912" totalsRowDxfId="295"/>
    <tableColumn id="9" xr3:uid="{00000000-0010-0000-3000-000009000000}" name="Plan HHJ 20-21" dataDxfId="911" totalsRowDxfId="294"/>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1000000}" name="Tabelle410232763" displayName="Tabelle410232763" ref="A35:L48" totalsRowCount="1" headerRowDxfId="910" dataDxfId="909" totalsRowDxfId="908">
  <autoFilter ref="A35:L47" xr:uid="{00000000-0009-0000-0100-00003E000000}"/>
  <tableColumns count="12">
    <tableColumn id="13" xr3:uid="{00000000-0010-0000-3100-00000D000000}" name="Lfd. Nr." dataDxfId="907" totalsRowDxfId="284">
      <calculatedColumnFormula>ROW(#REF!)</calculatedColumnFormula>
    </tableColumn>
    <tableColumn id="1" xr3:uid="{00000000-0010-0000-3100-000001000000}" name="Beschreibung/ Kurzbezeichnung" totalsRowLabel="Gesamt:  " dataDxfId="906" totalsRowDxfId="283"/>
    <tableColumn id="2" xr3:uid="{00000000-0010-0000-3100-000002000000}" name="Teilnahmebeiträge Fachseminare" totalsRowFunction="custom" dataDxfId="905" totalsRowDxfId="282">
      <totalsRowFormula>SUBTOTAL(9,Tabelle410232763[Teilnahmebeiträge Fachseminare])</totalsRowFormula>
    </tableColumn>
    <tableColumn id="3" xr3:uid="{00000000-0010-0000-3100-000003000000}" name="Teilnahmebeiträge Veranstaltungen" totalsRowFunction="custom" dataDxfId="904" totalsRowDxfId="281">
      <totalsRowFormula>SUBTOTAL(9,Tabelle410232763[Teilnahmebeiträge Veranstaltungen])</totalsRowFormula>
    </tableColumn>
    <tableColumn id="4" xr3:uid="{00000000-0010-0000-3100-000004000000}" name="Sonstige Einnahmen" totalsRowFunction="custom" dataDxfId="903" totalsRowDxfId="280">
      <totalsRowFormula>SUBTOTAL(9,Tabelle410232763[Sonstige Einnahmen])</totalsRowFormula>
    </tableColumn>
    <tableColumn id="5" xr3:uid="{00000000-0010-0000-3100-000005000000}" name="Honorare Dozierende Fachseminare" totalsRowFunction="custom" dataDxfId="902" totalsRowDxfId="279">
      <totalsRowFormula>SUBTOTAL(9,Tabelle410232763[Honorare Dozierende Fachseminare])</totalsRowFormula>
    </tableColumn>
    <tableColumn id="6" xr3:uid="{00000000-0010-0000-3100-000006000000}" name="Aufwandsentschädigungen" totalsRowFunction="custom" dataDxfId="901" totalsRowDxfId="278">
      <totalsRowFormula>SUBTOTAL(9,Tabelle410232763[Aufwandsentschädigungen])</totalsRowFormula>
    </tableColumn>
    <tableColumn id="7" xr3:uid="{00000000-0010-0000-3100-000007000000}" name="Externe Reisekosten" totalsRowFunction="custom" dataDxfId="900" totalsRowDxfId="277">
      <totalsRowFormula>SUBTOTAL(9,Tabelle410232763[Externe Reisekosten])</totalsRowFormula>
    </tableColumn>
    <tableColumn id="8" xr3:uid="{00000000-0010-0000-3100-000008000000}" name="Repräsentation/Bewirtung extern" totalsRowFunction="custom" dataDxfId="899" totalsRowDxfId="276">
      <totalsRowFormula>SUBTOTAL(9,Tabelle410232763[Repräsentation/Bewirtung extern])</totalsRowFormula>
    </tableColumn>
    <tableColumn id="9" xr3:uid="{00000000-0010-0000-3100-000009000000}" name="Raum + Unterkunft extern" totalsRowFunction="custom" dataDxfId="898" totalsRowDxfId="275">
      <totalsRowFormula>SUBTOTAL(9,Tabelle410232763[Raum + Unterkunft extern])</totalsRowFormula>
    </tableColumn>
    <tableColumn id="10" xr3:uid="{00000000-0010-0000-3100-00000A000000}" name="Verwaltungs- und Druckkosten" totalsRowFunction="custom" dataDxfId="897" totalsRowDxfId="274">
      <totalsRowFormula>SUBTOTAL(9,Tabelle410232763[Verwaltungs- und Druckkosten])</totalsRowFormula>
    </tableColumn>
    <tableColumn id="11" xr3:uid="{00000000-0010-0000-3100-00000B000000}" name="Gesamt" totalsRowFunction="custom" dataDxfId="896" totalsRowDxfId="273">
      <totalsRowFormula>SUBTOTAL(9,Tabelle410232763[Gesamt])</totalsRowFormula>
    </tableColumn>
  </tableColumns>
  <tableStyleInfo name="TableStyleLight1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2000000}" name="Tabelle513242864" displayName="Tabelle513242864" ref="A53:O66" totalsRowCount="1" headerRowDxfId="895" dataDxfId="894" totalsRowDxfId="893">
  <autoFilter ref="A53:O65" xr:uid="{00000000-0009-0000-0100-00003F000000}"/>
  <tableColumns count="15">
    <tableColumn id="14" xr3:uid="{00000000-0010-0000-3200-00000E000000}" name="Lfd. Nr." dataDxfId="892" totalsRowDxfId="272">
      <calculatedColumnFormula>ROW(A1)</calculatedColumnFormula>
    </tableColumn>
    <tableColumn id="1" xr3:uid="{00000000-0010-0000-3200-000001000000}" name="Beschreibung" totalsRowLabel="Gesamt:  " dataDxfId="891" totalsRowDxfId="271"/>
    <tableColumn id="2" xr3:uid="{00000000-0010-0000-3200-000002000000}" name="Teilnahmebeiträge Veranstaltungen" totalsRowFunction="custom" dataDxfId="890" totalsRowDxfId="270">
      <totalsRowFormula>SUBTOTAL(9,Tabelle513242864[Teilnahmebeiträge Veranstaltungen])</totalsRowFormula>
    </tableColumn>
    <tableColumn id="3" xr3:uid="{00000000-0010-0000-3200-000003000000}" name="Sonstige Einnahmen" totalsRowFunction="custom" dataDxfId="889" totalsRowDxfId="269">
      <totalsRowFormula>SUBTOTAL(9,Tabelle513242864[Sonstige Einnahmen])</totalsRowFormula>
    </tableColumn>
    <tableColumn id="4" xr3:uid="{00000000-0010-0000-3200-000004000000}" name="Aufwandsentschädigungen" totalsRowFunction="custom" dataDxfId="888" totalsRowDxfId="268">
      <totalsRowFormula>SUBTOTAL(9,Tabelle513242864[Aufwandsentschädigungen])</totalsRowFormula>
    </tableColumn>
    <tableColumn id="5" xr3:uid="{00000000-0010-0000-3200-000005000000}" name="Interne Reisekosten" totalsRowFunction="custom" dataDxfId="887" totalsRowDxfId="267">
      <totalsRowFormula>SUBTOTAL(9,Tabelle513242864[Interne Reisekosten])</totalsRowFormula>
    </tableColumn>
    <tableColumn id="6" xr3:uid="{00000000-0010-0000-3200-000006000000}" name="Raum + Unterkunft intern" totalsRowFunction="custom" dataDxfId="886" totalsRowDxfId="266">
      <totalsRowFormula>SUBTOTAL(9,Tabelle513242864[Raum + Unterkunft intern])</totalsRowFormula>
    </tableColumn>
    <tableColumn id="7" xr3:uid="{00000000-0010-0000-3200-000007000000}" name="Repräsentation/Bewirtung intern" totalsRowFunction="custom" dataDxfId="885" totalsRowDxfId="265">
      <totalsRowFormula>SUBTOTAL(9,Tabelle513242864[Repräsentation/Bewirtung intern])</totalsRowFormula>
    </tableColumn>
    <tableColumn id="8" xr3:uid="{00000000-0010-0000-3200-000008000000}" name="Repräsentation/Bewirtung extern" totalsRowFunction="custom" dataDxfId="884" totalsRowDxfId="264">
      <totalsRowFormula>SUBTOTAL(9,Tabelle513242864[Repräsentation/Bewirtung extern])</totalsRowFormula>
    </tableColumn>
    <tableColumn id="9" xr3:uid="{00000000-0010-0000-3200-000009000000}" name="Raum + Unterkunft extern" totalsRowFunction="custom" dataDxfId="883" totalsRowDxfId="263">
      <totalsRowFormula>SUBTOTAL(9,Tabelle513242864[Raum + Unterkunft extern])</totalsRowFormula>
    </tableColumn>
    <tableColumn id="10" xr3:uid="{00000000-0010-0000-3200-00000A000000}" name="Druckkosten" totalsRowFunction="custom" dataDxfId="882" totalsRowDxfId="262">
      <totalsRowFormula>SUBTOTAL(9,Tabelle513242864[Druckkosten])</totalsRowFormula>
    </tableColumn>
    <tableColumn id="11" xr3:uid="{00000000-0010-0000-3200-00000B000000}" name="Sonstige Kosten" totalsRowFunction="custom" dataDxfId="881" totalsRowDxfId="261">
      <totalsRowFormula>SUBTOTAL(9,Tabelle513242864[Sonstige Kosten])</totalsRowFormula>
    </tableColumn>
    <tableColumn id="12" xr3:uid="{00000000-0010-0000-3200-00000C000000}" name="Rechtsangelegenheiten" totalsRowFunction="custom" dataDxfId="880" totalsRowDxfId="260">
      <totalsRowFormula>SUBTOTAL(9,Tabelle513242864[Rechtsangelegenheiten])</totalsRowFormula>
    </tableColumn>
    <tableColumn id="15" xr3:uid="{00000000-0010-0000-3200-00000F000000}" name="Andere Honorare" totalsRowFunction="sum" dataDxfId="879" totalsRowDxfId="259"/>
    <tableColumn id="13" xr3:uid="{00000000-0010-0000-3200-00000D000000}" name="Gesamt" totalsRowFunction="custom" dataDxfId="878" totalsRowDxfId="258">
      <calculatedColumnFormula>(C54+D54)-SUM(E54:N54)</calculatedColumnFormula>
      <totalsRowFormula>SUBTOTAL(9,Tabelle513242864[Gesamt])</totalsRowFormula>
    </tableColumn>
  </tableColumns>
  <tableStyleInfo name="TableStyleLight16"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3000000}" name="Tabelle615252965" displayName="Tabelle615252965" ref="A71:I89" totalsRowCount="1" headerRowDxfId="877" dataDxfId="876" totalsRowDxfId="875" dataCellStyle="Link">
  <autoFilter ref="A71:I88" xr:uid="{00000000-0009-0000-0100-000040000000}"/>
  <tableColumns count="9">
    <tableColumn id="1" xr3:uid="{00000000-0010-0000-3300-000001000000}" name="Lfd. Nr. " dataDxfId="874" totalsRowDxfId="293">
      <calculatedColumnFormula>ROW(A1)</calculatedColumnFormula>
    </tableColumn>
    <tableColumn id="8" xr3:uid="{00000000-0010-0000-3300-000008000000}" name="Sitzung/Tätigkeit" dataDxfId="873" totalsRowDxfId="292"/>
    <tableColumn id="9" xr3:uid="{00000000-0010-0000-3300-000009000000}" name="Ort oder Datum (falls bekannt)" dataDxfId="872" totalsRowDxfId="291"/>
    <tableColumn id="7" xr3:uid="{00000000-0010-0000-3300-000007000000}" name="Art" totalsRowLabel="Gesamt:  " dataDxfId="871" totalsRowDxfId="290"/>
    <tableColumn id="2" xr3:uid="{00000000-0010-0000-3300-000002000000}" name="Aufwandsentschädigungen" totalsRowFunction="custom" dataDxfId="870" totalsRowDxfId="289" dataCellStyle="Link">
      <totalsRowFormula>SUBTOTAL(9,Tabelle615252965[Aufwandsentschädigungen])</totalsRowFormula>
    </tableColumn>
    <tableColumn id="3" xr3:uid="{00000000-0010-0000-3300-000003000000}" name="Interne Reisekosten" totalsRowFunction="custom" dataDxfId="869" totalsRowDxfId="288" dataCellStyle="Link">
      <totalsRowFormula>SUBTOTAL(9,Tabelle615252965[Interne Reisekosten])</totalsRowFormula>
    </tableColumn>
    <tableColumn id="4" xr3:uid="{00000000-0010-0000-3300-000004000000}" name="Raum + Unterkunft intern" totalsRowFunction="custom" dataDxfId="868" totalsRowDxfId="287" dataCellStyle="Link">
      <totalsRowFormula>SUBTOTAL(9,Tabelle615252965[Raum + Unterkunft intern])</totalsRowFormula>
    </tableColumn>
    <tableColumn id="5" xr3:uid="{00000000-0010-0000-3300-000005000000}" name="Repräsentation/Bewirtung intern" totalsRowFunction="custom" dataDxfId="867" totalsRowDxfId="286" dataCellStyle="Link">
      <totalsRowFormula>SUBTOTAL(9,Tabelle615252965[Repräsentation/Bewirtung intern])</totalsRowFormula>
    </tableColumn>
    <tableColumn id="6" xr3:uid="{00000000-0010-0000-3300-000006000000}" name="Gesamt" totalsRowFunction="custom" dataDxfId="866" totalsRowDxfId="285">
      <totalsRowFormula>SUBTOTAL(9,Tabelle615252965[Gesamt])</totalsRowFormula>
    </tableColumn>
  </tableColumns>
  <tableStyleInfo name="TableStyleLight2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34000000}" name="Tabelle41023" displayName="Tabelle41023" ref="R35:AC44" totalsRowCount="1" headerRowDxfId="865" dataDxfId="864" totalsRowDxfId="863">
  <autoFilter ref="R35:AC43" xr:uid="{00000000-0009-0000-0100-000016000000}"/>
  <tableColumns count="12">
    <tableColumn id="13" xr3:uid="{00000000-0010-0000-3400-00000D000000}" name="Lfd. Nr." dataDxfId="862" totalsRowDxfId="233">
      <calculatedColumnFormula>ROW(A1)</calculatedColumnFormula>
    </tableColumn>
    <tableColumn id="1" xr3:uid="{00000000-0010-0000-3400-000001000000}" name="Beschreibung/ Kurzbezeichnung" totalsRowLabel="Gesamt:  " dataDxfId="861" totalsRowDxfId="232"/>
    <tableColumn id="2" xr3:uid="{00000000-0010-0000-3400-000002000000}" name="Teilnahmebeiträge Fachseminare" totalsRowFunction="custom" dataDxfId="860" totalsRowDxfId="231">
      <totalsRowFormula>SUBTOTAL(9,Tabelle41023[Teilnahmebeiträge Fachseminare])</totalsRowFormula>
    </tableColumn>
    <tableColumn id="3" xr3:uid="{00000000-0010-0000-3400-000003000000}" name="Teilnahmebeiträge Veranstaltungen" totalsRowFunction="custom" dataDxfId="859" totalsRowDxfId="230">
      <totalsRowFormula>SUBTOTAL(9,Tabelle41023[Teilnahmebeiträge Veranstaltungen])</totalsRowFormula>
    </tableColumn>
    <tableColumn id="4" xr3:uid="{00000000-0010-0000-3400-000004000000}" name="Sonstige Einnahmen" totalsRowFunction="custom" dataDxfId="858" totalsRowDxfId="229">
      <totalsRowFormula>SUBTOTAL(9,Tabelle41023[Sonstige Einnahmen])</totalsRowFormula>
    </tableColumn>
    <tableColumn id="5" xr3:uid="{00000000-0010-0000-3400-000005000000}" name="Honorare Dozierende Fachseminare" totalsRowFunction="custom" dataDxfId="857" totalsRowDxfId="228">
      <totalsRowFormula>SUBTOTAL(9,Tabelle41023[Honorare Dozierende Fachseminare])</totalsRowFormula>
    </tableColumn>
    <tableColumn id="6" xr3:uid="{00000000-0010-0000-3400-000006000000}" name="Aufwandsentschädigungen" totalsRowFunction="custom" dataDxfId="856" totalsRowDxfId="227">
      <totalsRowFormula>SUBTOTAL(9,Tabelle41023[Aufwandsentschädigungen])</totalsRowFormula>
    </tableColumn>
    <tableColumn id="7" xr3:uid="{00000000-0010-0000-3400-000007000000}" name="Externe Reisekosten" totalsRowFunction="custom" dataDxfId="855" totalsRowDxfId="226">
      <totalsRowFormula>SUBTOTAL(9,Tabelle41023[Externe Reisekosten])</totalsRowFormula>
    </tableColumn>
    <tableColumn id="8" xr3:uid="{00000000-0010-0000-3400-000008000000}" name="Repräsentation/Bewirtung extern" totalsRowFunction="custom" dataDxfId="854" totalsRowDxfId="225">
      <totalsRowFormula>SUBTOTAL(9,Tabelle41023[Repräsentation/Bewirtung extern])</totalsRowFormula>
    </tableColumn>
    <tableColumn id="9" xr3:uid="{00000000-0010-0000-3400-000009000000}" name="Raum + Unterkunft extern" totalsRowFunction="custom" dataDxfId="853" totalsRowDxfId="224">
      <totalsRowFormula>SUBTOTAL(9,Tabelle41023[Raum + Unterkunft extern])</totalsRowFormula>
    </tableColumn>
    <tableColumn id="10" xr3:uid="{00000000-0010-0000-3400-00000A000000}" name="Verwaltungs- und Druckkosten" totalsRowFunction="custom" dataDxfId="852" totalsRowDxfId="223">
      <totalsRowFormula>SUBTOTAL(9,Tabelle41023[Verwaltungs- und Druckkosten])</totalsRowFormula>
    </tableColumn>
    <tableColumn id="11" xr3:uid="{00000000-0010-0000-3400-00000B000000}" name="Gesamt" totalsRowFunction="custom" dataDxfId="851" totalsRowDxfId="222">
      <totalsRowFormula>SUBTOTAL(9,Tabelle41023[Gesamt])</totalsRowFormula>
    </tableColumn>
  </tableColumns>
  <tableStyleInfo name="TableStyleLight1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5000000}" name="Tabelle51324" displayName="Tabelle51324" ref="R49:AF62" totalsRowCount="1" headerRowDxfId="850" dataDxfId="849" totalsRowDxfId="848">
  <autoFilter ref="R49:AF61" xr:uid="{00000000-0009-0000-0100-000017000000}"/>
  <tableColumns count="15">
    <tableColumn id="14" xr3:uid="{00000000-0010-0000-3500-00000E000000}" name="Lfd. Nr." dataDxfId="847" totalsRowDxfId="248">
      <calculatedColumnFormula>ROW(A1)</calculatedColumnFormula>
    </tableColumn>
    <tableColumn id="1" xr3:uid="{00000000-0010-0000-3500-000001000000}" name="Beschreibung" totalsRowLabel="Gesamt:  " dataDxfId="846" totalsRowDxfId="247"/>
    <tableColumn id="2" xr3:uid="{00000000-0010-0000-3500-000002000000}" name="Teilnahmebeiträge Veranstaltungen" totalsRowFunction="custom" dataDxfId="845" totalsRowDxfId="246">
      <totalsRowFormula>SUBTOTAL(9,Tabelle51324[Teilnahmebeiträge Veranstaltungen])</totalsRowFormula>
    </tableColumn>
    <tableColumn id="3" xr3:uid="{00000000-0010-0000-3500-000003000000}" name="Sonstige Einnahmen" totalsRowFunction="custom" dataDxfId="844" totalsRowDxfId="245">
      <totalsRowFormula>SUBTOTAL(9,Tabelle51324[Sonstige Einnahmen])</totalsRowFormula>
    </tableColumn>
    <tableColumn id="4" xr3:uid="{00000000-0010-0000-3500-000004000000}" name="Aufwandsentschädigungen" totalsRowFunction="custom" dataDxfId="843" totalsRowDxfId="244">
      <totalsRowFormula>SUBTOTAL(9,Tabelle51324[Aufwandsentschädigungen])</totalsRowFormula>
    </tableColumn>
    <tableColumn id="5" xr3:uid="{00000000-0010-0000-3500-000005000000}" name="Interne Reisekosten" totalsRowFunction="custom" dataDxfId="842" totalsRowDxfId="243">
      <totalsRowFormula>SUBTOTAL(9,Tabelle51324[Interne Reisekosten])</totalsRowFormula>
    </tableColumn>
    <tableColumn id="6" xr3:uid="{00000000-0010-0000-3500-000006000000}" name="Raum + Unterkunft intern" totalsRowFunction="custom" dataDxfId="841" totalsRowDxfId="242">
      <totalsRowFormula>SUBTOTAL(9,Tabelle51324[Raum + Unterkunft intern])</totalsRowFormula>
    </tableColumn>
    <tableColumn id="7" xr3:uid="{00000000-0010-0000-3500-000007000000}" name="Repräsentation/Bewirtung intern" totalsRowFunction="custom" dataDxfId="840" totalsRowDxfId="241">
      <totalsRowFormula>SUBTOTAL(9,Tabelle51324[Repräsentation/Bewirtung intern])</totalsRowFormula>
    </tableColumn>
    <tableColumn id="8" xr3:uid="{00000000-0010-0000-3500-000008000000}" name="Repräsentation/Bewirtung extern" totalsRowFunction="custom" dataDxfId="839" totalsRowDxfId="240">
      <totalsRowFormula>SUBTOTAL(9,Tabelle51324[Repräsentation/Bewirtung extern])</totalsRowFormula>
    </tableColumn>
    <tableColumn id="9" xr3:uid="{00000000-0010-0000-3500-000009000000}" name="Raum + Unterkunft extern" totalsRowFunction="custom" dataDxfId="838" totalsRowDxfId="239">
      <totalsRowFormula>SUBTOTAL(9,Tabelle51324[Raum + Unterkunft extern])</totalsRowFormula>
    </tableColumn>
    <tableColumn id="10" xr3:uid="{00000000-0010-0000-3500-00000A000000}" name="Druckkosten" totalsRowFunction="custom" dataDxfId="837" totalsRowDxfId="238">
      <totalsRowFormula>SUBTOTAL(9,Tabelle51324[Druckkosten])</totalsRowFormula>
    </tableColumn>
    <tableColumn id="11" xr3:uid="{00000000-0010-0000-3500-00000B000000}" name="Sonstige Kosten" totalsRowFunction="custom" dataDxfId="836" totalsRowDxfId="237">
      <totalsRowFormula>SUBTOTAL(9,Tabelle51324[Sonstige Kosten])</totalsRowFormula>
    </tableColumn>
    <tableColumn id="12" xr3:uid="{00000000-0010-0000-3500-00000C000000}" name="Rechtsangelegenheiten" totalsRowFunction="custom" dataDxfId="835" totalsRowDxfId="236">
      <totalsRowFormula>SUBTOTAL(9,Tabelle51324[Rechtsangelegenheiten])</totalsRowFormula>
    </tableColumn>
    <tableColumn id="15" xr3:uid="{00000000-0010-0000-3500-00000F000000}" name="Andere Honorare" totalsRowFunction="sum" dataDxfId="834" totalsRowDxfId="235"/>
    <tableColumn id="13" xr3:uid="{00000000-0010-0000-3500-00000D000000}" name="Gesamt" totalsRowFunction="custom" dataDxfId="833" totalsRowDxfId="234">
      <totalsRowFormula>SUBTOTAL(9,Tabelle51324[Gesamt])</totalsRowFormula>
    </tableColumn>
  </tableColumns>
  <tableStyleInfo name="TableStyleLight16"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36000000}" name="Tabelle61525" displayName="Tabelle61525" ref="R67:Z85" totalsRowCount="1" headerRowDxfId="832" dataDxfId="831" totalsRowDxfId="830" dataCellStyle="Link">
  <autoFilter ref="R67:Z84" xr:uid="{00000000-0009-0000-0100-000018000000}"/>
  <tableColumns count="9">
    <tableColumn id="1" xr3:uid="{00000000-0010-0000-3600-000001000000}" name="Lfd. Nr. " dataDxfId="829" totalsRowDxfId="257">
      <calculatedColumnFormula>ROW(A1)</calculatedColumnFormula>
    </tableColumn>
    <tableColumn id="8" xr3:uid="{00000000-0010-0000-3600-000008000000}" name="Sitzung/Tätigkeit" dataDxfId="828" totalsRowDxfId="256"/>
    <tableColumn id="9" xr3:uid="{00000000-0010-0000-3600-000009000000}" name="Ort oder Datum (falls bekannt)" dataDxfId="827" totalsRowDxfId="255"/>
    <tableColumn id="7" xr3:uid="{00000000-0010-0000-3600-000007000000}" name="Art" totalsRowLabel="Gesamt:  " dataDxfId="826" totalsRowDxfId="254"/>
    <tableColumn id="2" xr3:uid="{00000000-0010-0000-3600-000002000000}" name="Aufwandsentschädigungen" totalsRowFunction="custom" dataDxfId="825" totalsRowDxfId="253" dataCellStyle="Link">
      <totalsRowFormula>SUBTOTAL(9,Tabelle61525[Aufwandsentschädigungen])</totalsRowFormula>
    </tableColumn>
    <tableColumn id="3" xr3:uid="{00000000-0010-0000-3600-000003000000}" name="Interne Reisekosten" totalsRowFunction="custom" dataDxfId="824" totalsRowDxfId="252" dataCellStyle="Link">
      <totalsRowFormula>SUBTOTAL(9,Tabelle61525[Interne Reisekosten])</totalsRowFormula>
    </tableColumn>
    <tableColumn id="4" xr3:uid="{00000000-0010-0000-3600-000004000000}" name="Raum + Unterkunft intern" totalsRowFunction="custom" dataDxfId="823" totalsRowDxfId="251" dataCellStyle="Link">
      <totalsRowFormula>SUBTOTAL(9,Tabelle61525[Raum + Unterkunft intern])</totalsRowFormula>
    </tableColumn>
    <tableColumn id="5" xr3:uid="{00000000-0010-0000-3600-000005000000}" name="Repräsentation/Bewirtung intern" totalsRowFunction="custom" dataDxfId="822" totalsRowDxfId="250" dataCellStyle="Link">
      <totalsRowFormula>SUBTOTAL(9,Tabelle61525[Repräsentation/Bewirtung intern])</totalsRowFormula>
    </tableColumn>
    <tableColumn id="6" xr3:uid="{00000000-0010-0000-3600-000006000000}" name="Gesamt" totalsRowFunction="custom" dataDxfId="821" totalsRowDxfId="249">
      <totalsRowFormula>SUBTOTAL(9,Tabelle61525[Gesamt])</totalsRowFormula>
    </tableColumn>
  </tableColumns>
  <tableStyleInfo name="TableStyleLight2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37000000}" name="Tabelle182226" displayName="Tabelle182226" ref="A3:L23" totalsRowCount="1" headerRowDxfId="820" dataDxfId="818" totalsRowDxfId="816" headerRowBorderDxfId="819" tableBorderDxfId="817">
  <autoFilter ref="A3:L22" xr:uid="{00000000-0009-0000-0100-000019000000}"/>
  <tableColumns count="12">
    <tableColumn id="1" xr3:uid="{00000000-0010-0000-3700-000001000000}" name="Titel" dataDxfId="815" totalsRowDxfId="221"/>
    <tableColumn id="2" xr3:uid="{00000000-0010-0000-3700-000002000000}" name="Kontenbezeichnung" dataDxfId="814" totalsRowDxfId="220"/>
    <tableColumn id="3" xr3:uid="{00000000-0010-0000-3700-000003000000}" name="-" dataDxfId="813" totalsRowDxfId="219"/>
    <tableColumn id="4" xr3:uid="{00000000-0010-0000-3700-000004000000}" name="Erläuterung" totalsRowLabel="Gesamt:" dataDxfId="812" totalsRowDxfId="218"/>
    <tableColumn id="12" xr3:uid="{00000000-0010-0000-3700-00000C000000}" name="Freie Eingabe Plan 23-24" totalsRowFunction="custom" dataDxfId="811" totalsRowDxfId="217">
      <totalsRowFormula>SUBTOTAL(109,E10:E22)</totalsRowFormula>
    </tableColumn>
    <tableColumn id="6" xr3:uid="{00000000-0010-0000-3700-000006000000}" name="Rechnung HHJ 23-24" totalsRowFunction="custom" dataDxfId="810" totalsRowDxfId="216">
      <totalsRowFormula>SUBTOTAL(109,F10:F22)</totalsRowFormula>
    </tableColumn>
    <tableColumn id="11" xr3:uid="{00000000-0010-0000-3700-00000B000000}" name="Freie Eingabe Plan 22-232" totalsRowFunction="custom" dataDxfId="809" totalsRowDxfId="215">
      <totalsRowFormula>SUBTOTAL(109,G10:G22)</totalsRowFormula>
    </tableColumn>
    <tableColumn id="10" xr3:uid="{00000000-0010-0000-3700-00000A000000}" name="Rechnung HHJ 22-232" totalsRowFunction="custom" dataDxfId="808" totalsRowDxfId="214">
      <totalsRowFormula>SUBTOTAL(109,H10:H22)</totalsRowFormula>
    </tableColumn>
    <tableColumn id="5" xr3:uid="{00000000-0010-0000-3700-000005000000}" name="Freie Eingabe Plan HHJ 21-22" totalsRowFunction="custom" dataDxfId="807" totalsRowDxfId="213">
      <totalsRowFormula>SUBTOTAL(109,I10:I22)</totalsRowFormula>
    </tableColumn>
    <tableColumn id="7" xr3:uid="{00000000-0010-0000-3700-000007000000}" name="IST HHJ 21-22" totalsRowFunction="custom" dataDxfId="806" totalsRowDxfId="212">
      <totalsRowFormula>SUBTOTAL(109,J10:J22)</totalsRowFormula>
    </tableColumn>
    <tableColumn id="8" xr3:uid="{00000000-0010-0000-3700-000008000000}" name="Abschluss 20-21" dataDxfId="805" totalsRowDxfId="211"/>
    <tableColumn id="9" xr3:uid="{00000000-0010-0000-3700-000009000000}" name="Plan HHJ 20-21" dataDxfId="804" totalsRowDxfId="210"/>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8000000}" name="Tabelle4102351" displayName="Tabelle4102351" ref="A35:L44" totalsRowCount="1" headerRowDxfId="803" dataDxfId="802" totalsRowDxfId="801">
  <autoFilter ref="A35:L43" xr:uid="{00000000-0009-0000-0100-000032000000}"/>
  <tableColumns count="12">
    <tableColumn id="13" xr3:uid="{00000000-0010-0000-3800-00000D000000}" name="Lfd. Nr." dataDxfId="800" totalsRowDxfId="185">
      <calculatedColumnFormula>ROW(#REF!)</calculatedColumnFormula>
    </tableColumn>
    <tableColumn id="1" xr3:uid="{00000000-0010-0000-3800-000001000000}" name="Beschreibung/ Kurzbezeichnung" totalsRowLabel="Gesamt:  " dataDxfId="799" totalsRowDxfId="184"/>
    <tableColumn id="2" xr3:uid="{00000000-0010-0000-3800-000002000000}" name="Teilnahmebeiträge Fachseminare" totalsRowFunction="sum" dataDxfId="798" totalsRowDxfId="183"/>
    <tableColumn id="3" xr3:uid="{00000000-0010-0000-3800-000003000000}" name="Teilnahmebeiträge Veranstaltungen" totalsRowFunction="custom" dataDxfId="797" totalsRowDxfId="182">
      <totalsRowFormula>SUBTOTAL(9,Tabelle4102351[Teilnahmebeiträge Veranstaltungen])</totalsRowFormula>
    </tableColumn>
    <tableColumn id="4" xr3:uid="{00000000-0010-0000-3800-000004000000}" name="Sonstige Einnahmen" totalsRowFunction="custom" dataDxfId="796" totalsRowDxfId="181">
      <totalsRowFormula>SUBTOTAL(9,Tabelle4102351[Sonstige Einnahmen])</totalsRowFormula>
    </tableColumn>
    <tableColumn id="5" xr3:uid="{00000000-0010-0000-3800-000005000000}" name="Honorare Dozierende Fachseminare" totalsRowFunction="sum" dataDxfId="795" totalsRowDxfId="180"/>
    <tableColumn id="6" xr3:uid="{00000000-0010-0000-3800-000006000000}" name="Aufwandsentschädigungen" totalsRowFunction="sum" dataDxfId="794" totalsRowDxfId="179"/>
    <tableColumn id="7" xr3:uid="{00000000-0010-0000-3800-000007000000}" name="Externe Reisekosten" totalsRowFunction="sum" dataDxfId="793" totalsRowDxfId="178"/>
    <tableColumn id="8" xr3:uid="{00000000-0010-0000-3800-000008000000}" name="Repräsentation/Bewirtung extern" totalsRowFunction="sum" dataDxfId="792" totalsRowDxfId="177"/>
    <tableColumn id="9" xr3:uid="{00000000-0010-0000-3800-000009000000}" name="Raum + Unterkunft extern" totalsRowFunction="sum" dataDxfId="791" totalsRowDxfId="176"/>
    <tableColumn id="10" xr3:uid="{00000000-0010-0000-3800-00000A000000}" name="Verwaltungs- und Druckkosten" totalsRowFunction="sum" dataDxfId="790" totalsRowDxfId="175"/>
    <tableColumn id="11" xr3:uid="{00000000-0010-0000-3800-00000B000000}" name="Gesamt" totalsRowFunction="sum" dataDxfId="789" totalsRowDxfId="174"/>
  </tableColumns>
  <tableStyleInfo name="TableStyleLight1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9000000}" name="Tabelle5132454" displayName="Tabelle5132454" ref="A49:O62" totalsRowCount="1" headerRowDxfId="788" dataDxfId="787" totalsRowDxfId="786">
  <autoFilter ref="A49:O61" xr:uid="{00000000-0009-0000-0100-000035000000}"/>
  <tableColumns count="15">
    <tableColumn id="14" xr3:uid="{00000000-0010-0000-3900-00000E000000}" name="Lfd. Nr." dataDxfId="785" totalsRowDxfId="200">
      <calculatedColumnFormula>ROW(#REF!)</calculatedColumnFormula>
    </tableColumn>
    <tableColumn id="1" xr3:uid="{00000000-0010-0000-3900-000001000000}" name="Beschreibung" totalsRowLabel="Gesamt:  " dataDxfId="784" totalsRowDxfId="199"/>
    <tableColumn id="2" xr3:uid="{00000000-0010-0000-3900-000002000000}" name="Teilnahmebeiträge Veranstaltungen" totalsRowFunction="custom" dataDxfId="783" totalsRowDxfId="198">
      <totalsRowFormula>SUBTOTAL(9,Tabelle5132454[Teilnahmebeiträge Veranstaltungen])</totalsRowFormula>
    </tableColumn>
    <tableColumn id="3" xr3:uid="{00000000-0010-0000-3900-000003000000}" name="Sonstige Einnahmen" totalsRowFunction="custom" dataDxfId="782" totalsRowDxfId="197">
      <totalsRowFormula>SUBTOTAL(9,Tabelle5132454[Sonstige Einnahmen])</totalsRowFormula>
    </tableColumn>
    <tableColumn id="4" xr3:uid="{00000000-0010-0000-3900-000004000000}" name="Aufwandsentschädigungen" totalsRowFunction="custom" dataDxfId="781" totalsRowDxfId="196">
      <totalsRowFormula>SUBTOTAL(9,Tabelle5132454[Aufwandsentschädigungen])</totalsRowFormula>
    </tableColumn>
    <tableColumn id="5" xr3:uid="{00000000-0010-0000-3900-000005000000}" name="Interne Reisekosten" totalsRowFunction="custom" dataDxfId="780" totalsRowDxfId="195">
      <totalsRowFormula>SUBTOTAL(9,Tabelle5132454[Interne Reisekosten])</totalsRowFormula>
    </tableColumn>
    <tableColumn id="6" xr3:uid="{00000000-0010-0000-3900-000006000000}" name="Raum + Unterkunft intern" totalsRowFunction="custom" dataDxfId="779" totalsRowDxfId="194">
      <totalsRowFormula>SUBTOTAL(9,Tabelle5132454[Raum + Unterkunft intern])</totalsRowFormula>
    </tableColumn>
    <tableColumn id="7" xr3:uid="{00000000-0010-0000-3900-000007000000}" name="Repräsentation/Bewirtung intern" totalsRowFunction="custom" dataDxfId="778" totalsRowDxfId="193">
      <totalsRowFormula>SUBTOTAL(9,Tabelle5132454[Repräsentation/Bewirtung intern])</totalsRowFormula>
    </tableColumn>
    <tableColumn id="8" xr3:uid="{00000000-0010-0000-3900-000008000000}" name="Repräsentation/Bewirtung extern" totalsRowFunction="custom" dataDxfId="777" totalsRowDxfId="192">
      <totalsRowFormula>SUBTOTAL(9,Tabelle5132454[Repräsentation/Bewirtung extern])</totalsRowFormula>
    </tableColumn>
    <tableColumn id="9" xr3:uid="{00000000-0010-0000-3900-000009000000}" name="Raum + Unterkunft extern" totalsRowFunction="custom" dataDxfId="776" totalsRowDxfId="191">
      <totalsRowFormula>SUBTOTAL(9,Tabelle5132454[Raum + Unterkunft extern])</totalsRowFormula>
    </tableColumn>
    <tableColumn id="10" xr3:uid="{00000000-0010-0000-3900-00000A000000}" name="Druckkosten" totalsRowFunction="custom" dataDxfId="775" totalsRowDxfId="190">
      <totalsRowFormula>SUBTOTAL(9,Tabelle5132454[Druckkosten])</totalsRowFormula>
    </tableColumn>
    <tableColumn id="11" xr3:uid="{00000000-0010-0000-3900-00000B000000}" name="Sonstige Kosten" totalsRowFunction="custom" dataDxfId="774" totalsRowDxfId="189">
      <totalsRowFormula>SUBTOTAL(9,Tabelle5132454[Sonstige Kosten])</totalsRowFormula>
    </tableColumn>
    <tableColumn id="12" xr3:uid="{00000000-0010-0000-3900-00000C000000}" name="Rechtsangelegenheiten" totalsRowFunction="custom" dataDxfId="773" totalsRowDxfId="188">
      <totalsRowFormula>SUBTOTAL(9,Tabelle5132454[Rechtsangelegenheiten])</totalsRowFormula>
    </tableColumn>
    <tableColumn id="15" xr3:uid="{00000000-0010-0000-3900-00000F000000}" name="Andere Honorare" totalsRowFunction="sum" dataDxfId="772" totalsRowDxfId="187"/>
    <tableColumn id="13" xr3:uid="{00000000-0010-0000-3900-00000D000000}" name="Gesamt" totalsRowFunction="custom" dataDxfId="771" totalsRowDxfId="186">
      <totalsRowFormula>SUBTOTAL(9,Tabelle5132454[Gesamt])</totalsRowFormula>
    </tableColumn>
  </tableColumns>
  <tableStyleInfo name="TableStyleLight16"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A000000}" name="Tabelle6152555" displayName="Tabelle6152555" ref="A67:I85" totalsRowCount="1" headerRowDxfId="770" dataDxfId="769" totalsRowDxfId="768" dataCellStyle="Link">
  <autoFilter ref="A67:I84" xr:uid="{00000000-0009-0000-0100-000036000000}"/>
  <tableColumns count="9">
    <tableColumn id="1" xr3:uid="{00000000-0010-0000-3A00-000001000000}" name="Lfd. Nr. " dataDxfId="767" totalsRowDxfId="209">
      <calculatedColumnFormula>ROW(#REF!)</calculatedColumnFormula>
    </tableColumn>
    <tableColumn id="8" xr3:uid="{00000000-0010-0000-3A00-000008000000}" name="Sitzung/Tätigkeit" dataDxfId="766" totalsRowDxfId="208"/>
    <tableColumn id="9" xr3:uid="{00000000-0010-0000-3A00-000009000000}" name="Ort oder Datum (falls bekannt)" dataDxfId="765" totalsRowDxfId="207"/>
    <tableColumn id="7" xr3:uid="{00000000-0010-0000-3A00-000007000000}" name="Art" totalsRowLabel="Gesamt:  " dataDxfId="764" totalsRowDxfId="206"/>
    <tableColumn id="2" xr3:uid="{00000000-0010-0000-3A00-000002000000}" name="Aufwandsentschädigungen" totalsRowFunction="custom" dataDxfId="763" totalsRowDxfId="205" dataCellStyle="Link">
      <totalsRowFormula>SUBTOTAL(9,Tabelle6152555[Aufwandsentschädigungen])</totalsRowFormula>
    </tableColumn>
    <tableColumn id="3" xr3:uid="{00000000-0010-0000-3A00-000003000000}" name="Interne Reisekosten" totalsRowFunction="custom" dataDxfId="762" totalsRowDxfId="204" dataCellStyle="Link">
      <totalsRowFormula>SUBTOTAL(9,Tabelle6152555[Interne Reisekosten])</totalsRowFormula>
    </tableColumn>
    <tableColumn id="4" xr3:uid="{00000000-0010-0000-3A00-000004000000}" name="Raum + Unterkunft intern" totalsRowFunction="custom" dataDxfId="761" totalsRowDxfId="203" dataCellStyle="Link">
      <totalsRowFormula>SUBTOTAL(9,Tabelle6152555[Raum + Unterkunft intern])</totalsRowFormula>
    </tableColumn>
    <tableColumn id="5" xr3:uid="{00000000-0010-0000-3A00-000005000000}" name="Repräsentation/Bewirtung intern" totalsRowFunction="custom" dataDxfId="760" totalsRowDxfId="202" dataCellStyle="Link">
      <totalsRowFormula>SUBTOTAL(9,Tabelle6152555[Repräsentation/Bewirtung intern])</totalsRowFormula>
    </tableColumn>
    <tableColumn id="6" xr3:uid="{00000000-0010-0000-3A00-000006000000}" name="Gesamt" totalsRowFunction="custom" dataDxfId="759" totalsRowDxfId="201">
      <totalsRowFormula>SUBTOTAL(9,Tabelle6152555[Gesamt])</totalsRowFormula>
    </tableColumn>
  </tableColumns>
  <tableStyleInfo name="TableStyleLight2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3B000000}" name="Tabelle4" displayName="Tabelle4" ref="O35:Z45" totalsRowCount="1" headerRowDxfId="758" dataDxfId="757" totalsRowDxfId="756">
  <autoFilter ref="O35:Z44" xr:uid="{00000000-0009-0000-0100-000025000000}"/>
  <tableColumns count="12">
    <tableColumn id="13" xr3:uid="{00000000-0010-0000-3B00-00000D000000}" name="Lfd. Nr." dataDxfId="755" totalsRowDxfId="164">
      <calculatedColumnFormula>ROW(A1)</calculatedColumnFormula>
    </tableColumn>
    <tableColumn id="1" xr3:uid="{00000000-0010-0000-3B00-000001000000}" name="Beschreibung/ Kurzbezeichnung" totalsRowLabel="Gesamt:  " dataDxfId="754" totalsRowDxfId="163"/>
    <tableColumn id="2" xr3:uid="{00000000-0010-0000-3B00-000002000000}" name="Teilnahmebeiträge Fachseminare" totalsRowFunction="custom" dataDxfId="753" totalsRowDxfId="162">
      <totalsRowFormula>SUBTOTAL(9,Tabelle4[Teilnahmebeiträge Fachseminare])</totalsRowFormula>
    </tableColumn>
    <tableColumn id="3" xr3:uid="{00000000-0010-0000-3B00-000003000000}" name="Teilnahmebeiträge Veranstaltungen" totalsRowFunction="custom" dataDxfId="752" totalsRowDxfId="161">
      <totalsRowFormula>SUBTOTAL(9,Tabelle4[Teilnahmebeiträge Veranstaltungen])</totalsRowFormula>
    </tableColumn>
    <tableColumn id="4" xr3:uid="{00000000-0010-0000-3B00-000004000000}" name="Sonstige Einnahmen" totalsRowFunction="custom" dataDxfId="751" totalsRowDxfId="160">
      <totalsRowFormula>SUBTOTAL(9,Tabelle4[Sonstige Einnahmen])</totalsRowFormula>
    </tableColumn>
    <tableColumn id="5" xr3:uid="{00000000-0010-0000-3B00-000005000000}" name="Honorare Dozierende Fachseminare" totalsRowFunction="custom" dataDxfId="750" totalsRowDxfId="159">
      <totalsRowFormula>SUBTOTAL(9,Tabelle4[Honorare Dozierende Fachseminare])</totalsRowFormula>
    </tableColumn>
    <tableColumn id="6" xr3:uid="{00000000-0010-0000-3B00-000006000000}" name="Aufwandsentschädigungen" totalsRowFunction="custom" dataDxfId="749" totalsRowDxfId="158">
      <totalsRowFormula>SUBTOTAL(9,Tabelle4[Aufwandsentschädigungen])</totalsRowFormula>
    </tableColumn>
    <tableColumn id="7" xr3:uid="{00000000-0010-0000-3B00-000007000000}" name="Externe Reisekosten" totalsRowFunction="custom" dataDxfId="748" totalsRowDxfId="157">
      <totalsRowFormula>SUBTOTAL(9,Tabelle4[Externe Reisekosten])</totalsRowFormula>
    </tableColumn>
    <tableColumn id="8" xr3:uid="{00000000-0010-0000-3B00-000008000000}" name="Repräsentation/Bewirtung extern" totalsRowFunction="custom" dataDxfId="747" totalsRowDxfId="156">
      <totalsRowFormula>SUBTOTAL(9,Tabelle4[Repräsentation/Bewirtung extern])</totalsRowFormula>
    </tableColumn>
    <tableColumn id="9" xr3:uid="{00000000-0010-0000-3B00-000009000000}" name="Raum + Unterkunft extern" totalsRowFunction="custom" dataDxfId="746" totalsRowDxfId="155">
      <totalsRowFormula>SUBTOTAL(9,Tabelle4[Raum + Unterkunft extern])</totalsRowFormula>
    </tableColumn>
    <tableColumn id="10" xr3:uid="{00000000-0010-0000-3B00-00000A000000}" name="Verwaltungs- und Druckkosten" totalsRowFunction="custom" dataDxfId="745" totalsRowDxfId="154">
      <totalsRowFormula>SUBTOTAL(9,Tabelle4[Verwaltungs- und Druckkosten])</totalsRowFormula>
    </tableColumn>
    <tableColumn id="11" xr3:uid="{00000000-0010-0000-3B00-00000B000000}" name="Gesamt" totalsRowFunction="custom" dataDxfId="744" totalsRowDxfId="153">
      <calculatedColumnFormula>SUM(Q36:S36)-SUM(T36:Y36)</calculatedColumnFormula>
      <totalsRowFormula>SUBTOTAL(9,Tabelle4[Gesamt])</totalsRowFormula>
    </tableColumn>
  </tableColumns>
  <tableStyleInfo name="TableStyleLight19"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3C000000}" name="Tabelle5" displayName="Tabelle5" ref="R50:AF62" totalsRowCount="1" headerRowDxfId="743" dataDxfId="742" totalsRowDxfId="741">
  <autoFilter ref="R50:AF61" xr:uid="{00000000-0009-0000-0100-000027000000}"/>
  <tableColumns count="15">
    <tableColumn id="14" xr3:uid="{00000000-0010-0000-3C00-00000E000000}" name="Lfd. Nr." dataDxfId="740" totalsRowDxfId="152">
      <calculatedColumnFormula>ROW(A1)</calculatedColumnFormula>
    </tableColumn>
    <tableColumn id="1" xr3:uid="{00000000-0010-0000-3C00-000001000000}" name="Beschreibung" totalsRowLabel="Gesamt:  " dataDxfId="739" totalsRowDxfId="151"/>
    <tableColumn id="2" xr3:uid="{00000000-0010-0000-3C00-000002000000}" name="Teilnahmebeiträge Veranstaltungen" totalsRowFunction="custom" dataDxfId="738" totalsRowDxfId="150">
      <totalsRowFormula>SUBTOTAL(9,Tabelle5[Teilnahmebeiträge Veranstaltungen])</totalsRowFormula>
    </tableColumn>
    <tableColumn id="3" xr3:uid="{00000000-0010-0000-3C00-000003000000}" name="Sonstige Einnahmen" totalsRowFunction="custom" dataDxfId="737" totalsRowDxfId="149">
      <totalsRowFormula>SUBTOTAL(9,Tabelle5[Sonstige Einnahmen])</totalsRowFormula>
    </tableColumn>
    <tableColumn id="4" xr3:uid="{00000000-0010-0000-3C00-000004000000}" name="Aufwandsentschädigungen" totalsRowFunction="custom" dataDxfId="736" totalsRowDxfId="148">
      <totalsRowFormula>SUBTOTAL(9,Tabelle5[Aufwandsentschädigungen])</totalsRowFormula>
    </tableColumn>
    <tableColumn id="5" xr3:uid="{00000000-0010-0000-3C00-000005000000}" name="Interne Reisekosten" totalsRowFunction="custom" dataDxfId="735" totalsRowDxfId="147">
      <totalsRowFormula>SUBTOTAL(9,Tabelle5[Interne Reisekosten])</totalsRowFormula>
    </tableColumn>
    <tableColumn id="6" xr3:uid="{00000000-0010-0000-3C00-000006000000}" name="Raum + Unterkunft intern" totalsRowFunction="custom" dataDxfId="734" totalsRowDxfId="146">
      <totalsRowFormula>SUBTOTAL(9,Tabelle5[Raum + Unterkunft intern])</totalsRowFormula>
    </tableColumn>
    <tableColumn id="7" xr3:uid="{00000000-0010-0000-3C00-000007000000}" name="Repräsentation/Bewirtung intern" totalsRowFunction="custom" dataDxfId="733" totalsRowDxfId="145">
      <totalsRowFormula>SUBTOTAL(9,Tabelle5[Repräsentation/Bewirtung intern])</totalsRowFormula>
    </tableColumn>
    <tableColumn id="8" xr3:uid="{00000000-0010-0000-3C00-000008000000}" name="Repräsentation/Bewirtung extern" totalsRowFunction="custom" dataDxfId="732" totalsRowDxfId="144">
      <totalsRowFormula>SUBTOTAL(9,Tabelle5[Repräsentation/Bewirtung extern])</totalsRowFormula>
    </tableColumn>
    <tableColumn id="9" xr3:uid="{00000000-0010-0000-3C00-000009000000}" name="Raum + Unterkunft extern" totalsRowFunction="custom" dataDxfId="731" totalsRowDxfId="143">
      <totalsRowFormula>SUBTOTAL(9,Tabelle5[Raum + Unterkunft extern])</totalsRowFormula>
    </tableColumn>
    <tableColumn id="10" xr3:uid="{00000000-0010-0000-3C00-00000A000000}" name="Druckkosten" totalsRowFunction="custom" dataDxfId="730" totalsRowDxfId="142">
      <totalsRowFormula>SUBTOTAL(9,Tabelle5[Druckkosten])</totalsRowFormula>
    </tableColumn>
    <tableColumn id="11" xr3:uid="{00000000-0010-0000-3C00-00000B000000}" name="Sonstige Kosten" totalsRowFunction="custom" dataDxfId="729" totalsRowDxfId="141">
      <totalsRowFormula>SUBTOTAL(9,Tabelle5[Sonstige Kosten])</totalsRowFormula>
    </tableColumn>
    <tableColumn id="12" xr3:uid="{00000000-0010-0000-3C00-00000C000000}" name="Rechtsangelegenheiten" totalsRowFunction="custom" dataDxfId="728" totalsRowDxfId="140">
      <totalsRowFormula>SUBTOTAL(9,Tabelle5[Rechtsangelegenheiten])</totalsRowFormula>
    </tableColumn>
    <tableColumn id="16" xr3:uid="{00000000-0010-0000-3C00-000010000000}" name="Andere Honorare" totalsRowFunction="sum" dataDxfId="727" totalsRowDxfId="139"/>
    <tableColumn id="13" xr3:uid="{00000000-0010-0000-3C00-00000D000000}" name="Gesamt" totalsRowFunction="custom" dataDxfId="726" totalsRowDxfId="138">
      <calculatedColumnFormula>SUM(T51+U51)-SUM(V51:AD51)</calculatedColumnFormula>
      <totalsRowFormula>SUBTOTAL(9,Tabelle5[Gesamt])</totalsRowFormula>
    </tableColumn>
  </tableColumns>
  <tableStyleInfo name="TableStyleLight16"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3D000000}" name="Tabelle6" displayName="Tabelle6" ref="L67:T85" totalsRowCount="1" headerRowDxfId="725" dataDxfId="724" totalsRowDxfId="723" dataCellStyle="Link">
  <autoFilter ref="L67:T84" xr:uid="{00000000-0009-0000-0100-000028000000}"/>
  <tableColumns count="9">
    <tableColumn id="1" xr3:uid="{00000000-0010-0000-3D00-000001000000}" name="Lfd. Nr. " dataDxfId="722" totalsRowDxfId="173">
      <calculatedColumnFormula>ROW(A1)</calculatedColumnFormula>
    </tableColumn>
    <tableColumn id="8" xr3:uid="{00000000-0010-0000-3D00-000008000000}" name="Sitzung/Tätigkeit" dataDxfId="721" totalsRowDxfId="172"/>
    <tableColumn id="9" xr3:uid="{00000000-0010-0000-3D00-000009000000}" name="Ort oder Datum (falls bekannt)" dataDxfId="720" totalsRowDxfId="171"/>
    <tableColumn id="7" xr3:uid="{00000000-0010-0000-3D00-000007000000}" name="Art" totalsRowLabel="Gesamt:  " dataDxfId="719" totalsRowDxfId="170"/>
    <tableColumn id="2" xr3:uid="{00000000-0010-0000-3D00-000002000000}" name="Aufwandsentschädigungen" totalsRowFunction="custom" dataDxfId="718" totalsRowDxfId="169" dataCellStyle="Link">
      <totalsRowFormula>SUBTOTAL(9,Tabelle6[Aufwandsentschädigungen])</totalsRowFormula>
    </tableColumn>
    <tableColumn id="3" xr3:uid="{00000000-0010-0000-3D00-000003000000}" name="Interne Reisekosten" totalsRowFunction="custom" dataDxfId="717" totalsRowDxfId="168" dataCellStyle="Link">
      <totalsRowFormula>SUBTOTAL(9,Tabelle6[Interne Reisekosten])</totalsRowFormula>
    </tableColumn>
    <tableColumn id="4" xr3:uid="{00000000-0010-0000-3D00-000004000000}" name="Raum + Unterkunft intern" totalsRowFunction="custom" dataDxfId="716" totalsRowDxfId="167" dataCellStyle="Link">
      <totalsRowFormula>SUBTOTAL(9,Tabelle6[Raum + Unterkunft intern])</totalsRowFormula>
    </tableColumn>
    <tableColumn id="5" xr3:uid="{00000000-0010-0000-3D00-000005000000}" name="Repräsentation/Bewirtung intern" totalsRowFunction="custom" dataDxfId="715" totalsRowDxfId="166" dataCellStyle="Link">
      <totalsRowFormula>SUBTOTAL(9,Tabelle6[Repräsentation/Bewirtung intern])</totalsRowFormula>
    </tableColumn>
    <tableColumn id="6" xr3:uid="{00000000-0010-0000-3D00-000006000000}" name="Gesamt" totalsRowFunction="custom" dataDxfId="714" totalsRowDxfId="165">
      <totalsRowFormula>SUBTOTAL(9,Tabelle6[Gesamt])</totalsRowFormula>
    </tableColumn>
  </tableColumns>
  <tableStyleInfo name="TableStyleLight2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3E000000}" name="Tabelle18" displayName="Tabelle18" ref="A3:N23" totalsRowCount="1" headerRowDxfId="713" dataDxfId="712" totalsRowDxfId="710" tableBorderDxfId="711">
  <autoFilter ref="A3:N22" xr:uid="{00000000-0009-0000-0100-000029000000}"/>
  <tableColumns count="14">
    <tableColumn id="1" xr3:uid="{00000000-0010-0000-3E00-000001000000}" name="Titel" dataDxfId="709" totalsRowDxfId="137"/>
    <tableColumn id="2" xr3:uid="{00000000-0010-0000-3E00-000002000000}" name="Kontenbezeichnung" dataDxfId="708" totalsRowDxfId="136"/>
    <tableColumn id="3" xr3:uid="{00000000-0010-0000-3E00-000003000000}" name="-" dataDxfId="707" totalsRowDxfId="135"/>
    <tableColumn id="4" xr3:uid="{00000000-0010-0000-3E00-000004000000}" name="Erläuterung" totalsRowLabel="Gesamt:" dataDxfId="706" totalsRowDxfId="134"/>
    <tableColumn id="16" xr3:uid="{00000000-0010-0000-3E00-000010000000}" name="Freie Eingabe HHJ 24-25" dataDxfId="705" totalsRowDxfId="133"/>
    <tableColumn id="15" xr3:uid="{00000000-0010-0000-3E00-00000F000000}" name="Rechnung HHJ 24-25" dataDxfId="704" totalsRowDxfId="132"/>
    <tableColumn id="10" xr3:uid="{00000000-0010-0000-3E00-00000A000000}" name="Freie Eingabe HHHJ 23-242" totalsRowFunction="custom" dataDxfId="703" totalsRowDxfId="131">
      <totalsRowFormula>SUBTOTAL(109,G10:G22)</totalsRowFormula>
    </tableColumn>
    <tableColumn id="6" xr3:uid="{00000000-0010-0000-3E00-000006000000}" name="Rechnung HHJ 23-243" totalsRowFunction="custom" dataDxfId="702" totalsRowDxfId="130">
      <totalsRowFormula>SUBTOTAL(109,H10:H22)</totalsRowFormula>
    </tableColumn>
    <tableColumn id="19" xr3:uid="{00000000-0010-0000-3E00-000013000000}" name="Freie Eingabe Plan HHJ 22-23" totalsRowFunction="custom" dataDxfId="701" totalsRowDxfId="129">
      <totalsRowFormula>SUBTOTAL(109,I10:I22)</totalsRowFormula>
    </tableColumn>
    <tableColumn id="17" xr3:uid="{00000000-0010-0000-3E00-000011000000}" name="Rechnung HHJ 22-232" totalsRowFunction="custom" dataDxfId="700" totalsRowDxfId="128" dataCellStyle="Link">
      <totalsRowFormula>SUBTOTAL(109,J10:J22)</totalsRowFormula>
    </tableColumn>
    <tableColumn id="5" xr3:uid="{00000000-0010-0000-3E00-000005000000}" name="Freie Eingabe Plan HHJ 21-22" totalsRowFunction="custom" dataDxfId="699" totalsRowDxfId="127">
      <totalsRowFormula>SUBTOTAL(109,K10:K22)</totalsRowFormula>
    </tableColumn>
    <tableColumn id="7" xr3:uid="{00000000-0010-0000-3E00-000007000000}" name="IST HHJ 21-22" totalsRowFunction="custom" dataDxfId="698" totalsRowDxfId="126">
      <totalsRowFormula>SUBTOTAL(109,L10:L22)</totalsRowFormula>
    </tableColumn>
    <tableColumn id="8" xr3:uid="{00000000-0010-0000-3E00-000008000000}" name="Abschluss 20-21" dataDxfId="697" totalsRowDxfId="125"/>
    <tableColumn id="9" xr3:uid="{00000000-0010-0000-3E00-000009000000}" name="Plan HHJ 20-21" dataDxfId="696" totalsRowDxfId="124"/>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3F000000}" name="Tabelle444" displayName="Tabelle444" ref="A35:L45" totalsRowCount="1" headerRowDxfId="695" dataDxfId="694" totalsRowDxfId="693">
  <autoFilter ref="A35:L44" xr:uid="{00000000-0009-0000-0100-00002B000000}"/>
  <tableColumns count="12">
    <tableColumn id="13" xr3:uid="{00000000-0010-0000-3F00-00000D000000}" name="Lfd. Nr." dataDxfId="692" totalsRowDxfId="123">
      <calculatedColumnFormula>ROW(#REF!)</calculatedColumnFormula>
    </tableColumn>
    <tableColumn id="1" xr3:uid="{00000000-0010-0000-3F00-000001000000}" name="Beschreibung/ Kurzbezeichnung" totalsRowLabel="Gesamt:  " dataDxfId="691" totalsRowDxfId="122"/>
    <tableColumn id="2" xr3:uid="{00000000-0010-0000-3F00-000002000000}" name="Teilnahmebeiträge Fachseminare" totalsRowFunction="custom" dataDxfId="690" totalsRowDxfId="121">
      <totalsRowFormula>SUBTOTAL(9,Tabelle444[Teilnahmebeiträge Fachseminare])</totalsRowFormula>
    </tableColumn>
    <tableColumn id="3" xr3:uid="{00000000-0010-0000-3F00-000003000000}" name="Teilnahmebeiträge Veranstaltungen" totalsRowFunction="custom" dataDxfId="689" totalsRowDxfId="120">
      <totalsRowFormula>SUBTOTAL(9,Tabelle444[Teilnahmebeiträge Veranstaltungen])</totalsRowFormula>
    </tableColumn>
    <tableColumn id="4" xr3:uid="{00000000-0010-0000-3F00-000004000000}" name="Sonstige Einnahmen" totalsRowFunction="custom" dataDxfId="688" totalsRowDxfId="119">
      <totalsRowFormula>SUBTOTAL(9,Tabelle444[Sonstige Einnahmen])</totalsRowFormula>
    </tableColumn>
    <tableColumn id="5" xr3:uid="{00000000-0010-0000-3F00-000005000000}" name="Honorare Dozierende Fachseminare" totalsRowFunction="custom" dataDxfId="687" totalsRowDxfId="118">
      <totalsRowFormula>SUBTOTAL(9,Tabelle444[Honorare Dozierende Fachseminare])</totalsRowFormula>
    </tableColumn>
    <tableColumn id="6" xr3:uid="{00000000-0010-0000-3F00-000006000000}" name="Aufwandsentschädigungen" totalsRowFunction="custom" dataDxfId="686" totalsRowDxfId="117">
      <totalsRowFormula>SUBTOTAL(9,Tabelle444[Aufwandsentschädigungen])</totalsRowFormula>
    </tableColumn>
    <tableColumn id="7" xr3:uid="{00000000-0010-0000-3F00-000007000000}" name="Externe Reisekosten" totalsRowFunction="custom" dataDxfId="685" totalsRowDxfId="116">
      <totalsRowFormula>SUBTOTAL(9,Tabelle444[Externe Reisekosten])</totalsRowFormula>
    </tableColumn>
    <tableColumn id="8" xr3:uid="{00000000-0010-0000-3F00-000008000000}" name="Repräsentation/Bewirtung extern" totalsRowFunction="custom" dataDxfId="684" totalsRowDxfId="115">
      <totalsRowFormula>SUBTOTAL(9,Tabelle444[Repräsentation/Bewirtung extern])</totalsRowFormula>
    </tableColumn>
    <tableColumn id="9" xr3:uid="{00000000-0010-0000-3F00-000009000000}" name="Raum + Unterkunft extern" totalsRowFunction="custom" dataDxfId="683" totalsRowDxfId="114">
      <totalsRowFormula>SUBTOTAL(9,Tabelle444[Raum + Unterkunft extern])</totalsRowFormula>
    </tableColumn>
    <tableColumn id="10" xr3:uid="{00000000-0010-0000-3F00-00000A000000}" name="Verwaltungs- und Druckkosten" totalsRowFunction="custom" dataDxfId="682" totalsRowDxfId="113">
      <totalsRowFormula>SUBTOTAL(9,Tabelle444[Verwaltungs- und Druckkosten])</totalsRowFormula>
    </tableColumn>
    <tableColumn id="11" xr3:uid="{00000000-0010-0000-3F00-00000B000000}" name="Gesamt" totalsRowFunction="custom" dataDxfId="681" totalsRowDxfId="112">
      <calculatedColumnFormula>SUM(C36:E36)-SUM(F36:K36)</calculatedColumnFormula>
      <totalsRowFormula>SUBTOTAL(9,Tabelle444[Gesamt])</totalsRowFormula>
    </tableColumn>
  </tableColumns>
  <tableStyleInfo name="TableStyleLight19"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40000000}" name="Tabelle546" displayName="Tabelle546" ref="A50:O62" totalsRowCount="1" headerRowDxfId="680" dataDxfId="679" totalsRowDxfId="678">
  <autoFilter ref="A50:O61" xr:uid="{00000000-0009-0000-0100-00002D000000}"/>
  <tableColumns count="15">
    <tableColumn id="14" xr3:uid="{00000000-0010-0000-4000-00000E000000}" name="Lfd. Nr." dataDxfId="677" totalsRowDxfId="111">
      <calculatedColumnFormula>ROW(A1)</calculatedColumnFormula>
    </tableColumn>
    <tableColumn id="1" xr3:uid="{00000000-0010-0000-4000-000001000000}" name="Beschreibung" totalsRowLabel="Gesamt:  " dataDxfId="676" totalsRowDxfId="110"/>
    <tableColumn id="2" xr3:uid="{00000000-0010-0000-4000-000002000000}" name="Teilnahmebeiträge Veranstaltungen" totalsRowFunction="custom" dataDxfId="675" totalsRowDxfId="109">
      <totalsRowFormula>SUBTOTAL(9,Tabelle546[Teilnahmebeiträge Veranstaltungen])</totalsRowFormula>
    </tableColumn>
    <tableColumn id="3" xr3:uid="{00000000-0010-0000-4000-000003000000}" name="Sonstige Einnahmen" totalsRowFunction="custom" dataDxfId="674" totalsRowDxfId="108">
      <totalsRowFormula>SUBTOTAL(9,Tabelle546[Sonstige Einnahmen])</totalsRowFormula>
    </tableColumn>
    <tableColumn id="4" xr3:uid="{00000000-0010-0000-4000-000004000000}" name="Aufwandsentschädigungen" totalsRowFunction="custom" dataDxfId="673" totalsRowDxfId="107">
      <totalsRowFormula>SUBTOTAL(9,Tabelle546[Aufwandsentschädigungen])</totalsRowFormula>
    </tableColumn>
    <tableColumn id="5" xr3:uid="{00000000-0010-0000-4000-000005000000}" name="Interne Reisekosten" totalsRowFunction="custom" dataDxfId="672" totalsRowDxfId="106">
      <totalsRowFormula>SUBTOTAL(9,Tabelle546[Interne Reisekosten])</totalsRowFormula>
    </tableColumn>
    <tableColumn id="6" xr3:uid="{00000000-0010-0000-4000-000006000000}" name="Raum + Unterkunft intern" totalsRowFunction="custom" dataDxfId="671" totalsRowDxfId="105">
      <totalsRowFormula>SUBTOTAL(9,Tabelle546[Raum + Unterkunft intern])</totalsRowFormula>
    </tableColumn>
    <tableColumn id="7" xr3:uid="{00000000-0010-0000-4000-000007000000}" name="Repräsentation/Bewirtung intern" totalsRowFunction="custom" dataDxfId="670" totalsRowDxfId="104">
      <totalsRowFormula>SUBTOTAL(9,Tabelle546[Repräsentation/Bewirtung intern])</totalsRowFormula>
    </tableColumn>
    <tableColumn id="8" xr3:uid="{00000000-0010-0000-4000-000008000000}" name="Repräsentation/Bewirtung extern" totalsRowFunction="custom" dataDxfId="669" totalsRowDxfId="103">
      <totalsRowFormula>SUBTOTAL(9,Tabelle546[Repräsentation/Bewirtung extern])</totalsRowFormula>
    </tableColumn>
    <tableColumn id="9" xr3:uid="{00000000-0010-0000-4000-000009000000}" name="Raum + Unterkunft extern" totalsRowFunction="custom" dataDxfId="668" totalsRowDxfId="102">
      <totalsRowFormula>SUBTOTAL(9,Tabelle546[Raum + Unterkunft extern])</totalsRowFormula>
    </tableColumn>
    <tableColumn id="10" xr3:uid="{00000000-0010-0000-4000-00000A000000}" name="Druckkosten" totalsRowFunction="custom" dataDxfId="667" totalsRowDxfId="101">
      <totalsRowFormula>SUBTOTAL(9,Tabelle546[Druckkosten])</totalsRowFormula>
    </tableColumn>
    <tableColumn id="11" xr3:uid="{00000000-0010-0000-4000-00000B000000}" name="Sonstige Kosten" totalsRowFunction="custom" dataDxfId="666" totalsRowDxfId="100">
      <totalsRowFormula>SUBTOTAL(9,Tabelle546[Sonstige Kosten])</totalsRowFormula>
    </tableColumn>
    <tableColumn id="12" xr3:uid="{00000000-0010-0000-4000-00000C000000}" name="Rechtsangelegenheiten" totalsRowFunction="custom" dataDxfId="665" totalsRowDxfId="99">
      <totalsRowFormula>SUBTOTAL(9,Tabelle546[Rechtsangelegenheiten])</totalsRowFormula>
    </tableColumn>
    <tableColumn id="16" xr3:uid="{00000000-0010-0000-4000-000010000000}" name="Andere Honorare" totalsRowFunction="sum" dataDxfId="664" totalsRowDxfId="98"/>
    <tableColumn id="13" xr3:uid="{00000000-0010-0000-4000-00000D000000}" name="Gesamt" totalsRowFunction="custom" dataDxfId="663" totalsRowDxfId="97">
      <calculatedColumnFormula>SUM(C51+D51)-SUM(E51:M51)</calculatedColumnFormula>
      <totalsRowFormula>SUBTOTAL(9,Tabelle546[Gesamt])</totalsRowFormula>
    </tableColumn>
  </tableColumns>
  <tableStyleInfo name="TableStyleLight16"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41000000}" name="Tabelle647" displayName="Tabelle647" ref="A67:I85" totalsRowCount="1" headerRowDxfId="662" dataDxfId="661" totalsRowDxfId="660" dataCellStyle="Link">
  <autoFilter ref="A67:I84" xr:uid="{00000000-0009-0000-0100-00002E000000}"/>
  <tableColumns count="9">
    <tableColumn id="1" xr3:uid="{00000000-0010-0000-4100-000001000000}" name="Lfd. Nr. " dataDxfId="659" totalsRowDxfId="96">
      <calculatedColumnFormula>ROW(A1)</calculatedColumnFormula>
    </tableColumn>
    <tableColumn id="8" xr3:uid="{00000000-0010-0000-4100-000008000000}" name="Sitzung/Tätigkeit" dataDxfId="658" totalsRowDxfId="95"/>
    <tableColumn id="9" xr3:uid="{00000000-0010-0000-4100-000009000000}" name="Ort oder Datum (falls bekannt)" dataDxfId="657" totalsRowDxfId="94"/>
    <tableColumn id="7" xr3:uid="{00000000-0010-0000-4100-000007000000}" name="Art" totalsRowLabel="Gesamt:  " dataDxfId="656" totalsRowDxfId="93"/>
    <tableColumn id="2" xr3:uid="{00000000-0010-0000-4100-000002000000}" name="Aufwandsentschädigungen" totalsRowFunction="custom" dataDxfId="655" totalsRowDxfId="92" dataCellStyle="Link">
      <totalsRowFormula>SUBTOTAL(9,Tabelle647[Aufwandsentschädigungen])</totalsRowFormula>
    </tableColumn>
    <tableColumn id="3" xr3:uid="{00000000-0010-0000-4100-000003000000}" name="Interne Reisekosten" totalsRowFunction="custom" dataDxfId="654" totalsRowDxfId="91" dataCellStyle="Link">
      <totalsRowFormula>SUBTOTAL(9,Tabelle647[Interne Reisekosten])</totalsRowFormula>
    </tableColumn>
    <tableColumn id="4" xr3:uid="{00000000-0010-0000-4100-000004000000}" name="Raum + Unterkunft intern" totalsRowFunction="custom" dataDxfId="653" totalsRowDxfId="90" dataCellStyle="Link">
      <totalsRowFormula>SUBTOTAL(9,Tabelle647[Raum + Unterkunft intern])</totalsRowFormula>
    </tableColumn>
    <tableColumn id="5" xr3:uid="{00000000-0010-0000-4100-000005000000}" name="Repräsentation/Bewirtung intern" totalsRowFunction="custom" dataDxfId="652" totalsRowDxfId="89" dataCellStyle="Link">
      <totalsRowFormula>SUBTOTAL(9,Tabelle647[Repräsentation/Bewirtung intern])</totalsRowFormula>
    </tableColumn>
    <tableColumn id="6" xr3:uid="{00000000-0010-0000-4100-000006000000}" name="Gesamt" totalsRowFunction="custom" dataDxfId="651" totalsRowDxfId="88">
      <totalsRowFormula>SUBTOTAL(9,Tabelle647[Gesamt])</totalsRowFormula>
    </tableColumn>
  </tableColumns>
  <tableStyleInfo name="TableStyleLight2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42000000}" name="Tabelle410" displayName="Tabelle410" ref="R35:AC58" totalsRowCount="1" headerRowDxfId="650" dataDxfId="649" totalsRowDxfId="648">
  <autoFilter ref="R35:AC57" xr:uid="{00000000-0009-0000-0100-000009000000}"/>
  <tableColumns count="12">
    <tableColumn id="13" xr3:uid="{00000000-0010-0000-4200-00000D000000}" name="Lfd. Nr." dataDxfId="647" totalsRowDxfId="78">
      <calculatedColumnFormula>ROW(A1)</calculatedColumnFormula>
    </tableColumn>
    <tableColumn id="1" xr3:uid="{00000000-0010-0000-4200-000001000000}" name="Beschreibung/ Kurzbezeichnung" totalsRowLabel="Gesamt:  " dataDxfId="646" totalsRowDxfId="77"/>
    <tableColumn id="2" xr3:uid="{00000000-0010-0000-4200-000002000000}" name="Teilnahmebeiträge Fachseminare" totalsRowFunction="custom" dataDxfId="645" totalsRowDxfId="76">
      <totalsRowFormula>SUBTOTAL(9,Tabelle410[Teilnahmebeiträge Fachseminare])</totalsRowFormula>
    </tableColumn>
    <tableColumn id="3" xr3:uid="{00000000-0010-0000-4200-000003000000}" name="Teilnahmebeiträge Veranstaltungen" totalsRowFunction="custom" dataDxfId="644" totalsRowDxfId="75">
      <totalsRowFormula>SUBTOTAL(9,Tabelle410[Teilnahmebeiträge Veranstaltungen])</totalsRowFormula>
    </tableColumn>
    <tableColumn id="4" xr3:uid="{00000000-0010-0000-4200-000004000000}" name="Sonstige Einnahmen" totalsRowFunction="custom" dataDxfId="643" totalsRowDxfId="74">
      <totalsRowFormula>SUBTOTAL(9,Tabelle410[Sonstige Einnahmen])</totalsRowFormula>
    </tableColumn>
    <tableColumn id="5" xr3:uid="{00000000-0010-0000-4200-000005000000}" name="Honorare Dozierende Fachseminare" totalsRowFunction="custom" dataDxfId="642" totalsRowDxfId="73">
      <totalsRowFormula>SUBTOTAL(9,Tabelle410[Honorare Dozierende Fachseminare])</totalsRowFormula>
    </tableColumn>
    <tableColumn id="6" xr3:uid="{00000000-0010-0000-4200-000006000000}" name="Aufwandsentschädigungen" totalsRowFunction="custom" dataDxfId="641" totalsRowDxfId="72">
      <totalsRowFormula>SUBTOTAL(9,Tabelle410[Aufwandsentschädigungen])</totalsRowFormula>
    </tableColumn>
    <tableColumn id="7" xr3:uid="{00000000-0010-0000-4200-000007000000}" name="Externe Reisekosten" totalsRowFunction="custom" dataDxfId="640" totalsRowDxfId="71">
      <totalsRowFormula>SUBTOTAL(9,Tabelle410[Externe Reisekosten])</totalsRowFormula>
    </tableColumn>
    <tableColumn id="8" xr3:uid="{00000000-0010-0000-4200-000008000000}" name="Repräsentation/Bewirtung extern" totalsRowFunction="custom" dataDxfId="639" totalsRowDxfId="70">
      <totalsRowFormula>SUBTOTAL(9,Tabelle410[Repräsentation/Bewirtung extern])</totalsRowFormula>
    </tableColumn>
    <tableColumn id="9" xr3:uid="{00000000-0010-0000-4200-000009000000}" name="Raum + Unterkunft extern" totalsRowFunction="custom" dataDxfId="638" totalsRowDxfId="69">
      <totalsRowFormula>SUBTOTAL(9,Tabelle410[Raum + Unterkunft extern])</totalsRowFormula>
    </tableColumn>
    <tableColumn id="10" xr3:uid="{00000000-0010-0000-4200-00000A000000}" name="Verwaltungs- und Druckkosten" totalsRowFunction="custom" dataDxfId="637" totalsRowDxfId="68">
      <totalsRowFormula>SUBTOTAL(9,Tabelle410[Verwaltungs- und Druckkosten])</totalsRowFormula>
    </tableColumn>
    <tableColumn id="11" xr3:uid="{00000000-0010-0000-4200-00000B000000}" name="Gesamt" totalsRowFunction="custom" dataDxfId="636" totalsRowDxfId="67">
      <totalsRowFormula>SUBTOTAL(9,Tabelle410[Gesamt])</totalsRowFormula>
    </tableColumn>
  </tableColumns>
  <tableStyleInfo name="TableStyleLight1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43000000}" name="Tabelle513" displayName="Tabelle513" ref="R63:AF76" totalsRowCount="1" headerRowDxfId="635" dataDxfId="634" totalsRowDxfId="633">
  <autoFilter ref="R63:AF75" xr:uid="{00000000-0009-0000-0100-00000C000000}"/>
  <tableColumns count="15">
    <tableColumn id="14" xr3:uid="{00000000-0010-0000-4300-00000E000000}" name="Lfd. Nr." dataDxfId="632" totalsRowDxfId="66">
      <calculatedColumnFormula>ROW(A1)</calculatedColumnFormula>
    </tableColumn>
    <tableColumn id="1" xr3:uid="{00000000-0010-0000-4300-000001000000}" name="Beschreibung" totalsRowLabel="Gesamt:  " dataDxfId="631" totalsRowDxfId="65"/>
    <tableColumn id="2" xr3:uid="{00000000-0010-0000-4300-000002000000}" name="Teilnahmebeiträge Veranstaltungen" totalsRowFunction="custom" dataDxfId="630" totalsRowDxfId="64">
      <totalsRowFormula>SUBTOTAL(9,Tabelle513[Teilnahmebeiträge Veranstaltungen])</totalsRowFormula>
    </tableColumn>
    <tableColumn id="3" xr3:uid="{00000000-0010-0000-4300-000003000000}" name="Sonstige Einnahmen" totalsRowFunction="custom" dataDxfId="629" totalsRowDxfId="63">
      <totalsRowFormula>SUBTOTAL(9,Tabelle513[Sonstige Einnahmen])</totalsRowFormula>
    </tableColumn>
    <tableColumn id="4" xr3:uid="{00000000-0010-0000-4300-000004000000}" name="Aufwandsentschädigungen" totalsRowFunction="custom" dataDxfId="628" totalsRowDxfId="62">
      <totalsRowFormula>SUBTOTAL(9,Tabelle513[Aufwandsentschädigungen])</totalsRowFormula>
    </tableColumn>
    <tableColumn id="5" xr3:uid="{00000000-0010-0000-4300-000005000000}" name="Interne Reisekosten" totalsRowFunction="custom" dataDxfId="627" totalsRowDxfId="61">
      <totalsRowFormula>SUBTOTAL(9,Tabelle513[Interne Reisekosten])</totalsRowFormula>
    </tableColumn>
    <tableColumn id="6" xr3:uid="{00000000-0010-0000-4300-000006000000}" name="Raum + Unterkunft intern" totalsRowFunction="custom" dataDxfId="626" totalsRowDxfId="60">
      <totalsRowFormula>SUBTOTAL(9,Tabelle513[Raum + Unterkunft intern])</totalsRowFormula>
    </tableColumn>
    <tableColumn id="7" xr3:uid="{00000000-0010-0000-4300-000007000000}" name="Repräsentation/Bewirtung intern" totalsRowFunction="custom" dataDxfId="625" totalsRowDxfId="59">
      <totalsRowFormula>SUBTOTAL(9,Tabelle513[Repräsentation/Bewirtung intern])</totalsRowFormula>
    </tableColumn>
    <tableColumn id="8" xr3:uid="{00000000-0010-0000-4300-000008000000}" name="Repräsentation/Bewirtung extern" totalsRowFunction="custom" dataDxfId="624" totalsRowDxfId="58">
      <totalsRowFormula>SUBTOTAL(9,Tabelle513[Repräsentation/Bewirtung extern])</totalsRowFormula>
    </tableColumn>
    <tableColumn id="9" xr3:uid="{00000000-0010-0000-4300-000009000000}" name="Raum + Unterkunft extern" totalsRowFunction="custom" dataDxfId="623" totalsRowDxfId="57">
      <totalsRowFormula>SUBTOTAL(9,Tabelle513[Raum + Unterkunft extern])</totalsRowFormula>
    </tableColumn>
    <tableColumn id="10" xr3:uid="{00000000-0010-0000-4300-00000A000000}" name="Druckkosten" totalsRowFunction="custom" dataDxfId="622" totalsRowDxfId="56">
      <totalsRowFormula>SUBTOTAL(9,Tabelle513[Druckkosten])</totalsRowFormula>
    </tableColumn>
    <tableColumn id="11" xr3:uid="{00000000-0010-0000-4300-00000B000000}" name="Sonstige Kosten" totalsRowFunction="custom" dataDxfId="621" totalsRowDxfId="55">
      <totalsRowFormula>SUBTOTAL(9,Tabelle513[Sonstige Kosten])</totalsRowFormula>
    </tableColumn>
    <tableColumn id="12" xr3:uid="{00000000-0010-0000-4300-00000C000000}" name="Rechtsangelegenheiten" totalsRowFunction="custom" dataDxfId="620" totalsRowDxfId="54">
      <totalsRowFormula>SUBTOTAL(9,Tabelle513[Rechtsangelegenheiten])</totalsRowFormula>
    </tableColumn>
    <tableColumn id="15" xr3:uid="{00000000-0010-0000-4300-00000F000000}" name="Andere Honorare" totalsRowFunction="sum" dataDxfId="619" totalsRowDxfId="53"/>
    <tableColumn id="13" xr3:uid="{00000000-0010-0000-4300-00000D000000}" name="Gesamt" totalsRowFunction="custom" dataDxfId="618" totalsRowDxfId="52">
      <calculatedColumnFormula>SUM(T64:U64)-SUM(W64:AE64)</calculatedColumnFormula>
      <totalsRowFormula>SUBTOTAL(9,Tabelle513[Gesamt])</totalsRowFormula>
    </tableColumn>
  </tableColumns>
  <tableStyleInfo name="TableStyleLight16"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44000000}" name="Tabelle615" displayName="Tabelle615" ref="R81:Z93" totalsRowCount="1" headerRowDxfId="617" dataDxfId="616" totalsRowDxfId="615" dataCellStyle="Link">
  <autoFilter ref="R81:Z92" xr:uid="{00000000-0009-0000-0100-00000E000000}"/>
  <tableColumns count="9">
    <tableColumn id="1" xr3:uid="{00000000-0010-0000-4400-000001000000}" name="Lfd. Nr. " dataDxfId="614" totalsRowDxfId="87">
      <calculatedColumnFormula>ROW(A1)</calculatedColumnFormula>
    </tableColumn>
    <tableColumn id="8" xr3:uid="{00000000-0010-0000-4400-000008000000}" name="Sitzung/Tätigkeit" dataDxfId="613" totalsRowDxfId="86"/>
    <tableColumn id="9" xr3:uid="{00000000-0010-0000-4400-000009000000}" name="Ort oder Datum (falls bekannt)" dataDxfId="612" totalsRowDxfId="85"/>
    <tableColumn id="7" xr3:uid="{00000000-0010-0000-4400-000007000000}" name="Art" totalsRowLabel="Gesamt:  " dataDxfId="611" totalsRowDxfId="84"/>
    <tableColumn id="2" xr3:uid="{00000000-0010-0000-4400-000002000000}" name="Aufwandsentschädigungen" totalsRowFunction="custom" dataDxfId="610" totalsRowDxfId="83" dataCellStyle="Link">
      <totalsRowFormula>SUBTOTAL(9,Tabelle615[Aufwandsentschädigungen])</totalsRowFormula>
    </tableColumn>
    <tableColumn id="3" xr3:uid="{00000000-0010-0000-4400-000003000000}" name="Interne Reisekosten" totalsRowFunction="custom" dataDxfId="609" totalsRowDxfId="82" dataCellStyle="Link">
      <totalsRowFormula>SUBTOTAL(9,Tabelle615[Interne Reisekosten])</totalsRowFormula>
    </tableColumn>
    <tableColumn id="4" xr3:uid="{00000000-0010-0000-4400-000004000000}" name="Raum + Unterkunft intern" totalsRowFunction="custom" dataDxfId="608" totalsRowDxfId="81" dataCellStyle="Link">
      <totalsRowFormula>SUBTOTAL(9,Tabelle615[Raum + Unterkunft intern])</totalsRowFormula>
    </tableColumn>
    <tableColumn id="5" xr3:uid="{00000000-0010-0000-4400-000005000000}" name="Repräsentation/Bewirtung intern" totalsRowFunction="custom" dataDxfId="607" totalsRowDxfId="80" dataCellStyle="Link">
      <totalsRowFormula>SUBTOTAL(9,Tabelle615[Repräsentation/Bewirtung intern])</totalsRowFormula>
    </tableColumn>
    <tableColumn id="6" xr3:uid="{00000000-0010-0000-4400-000006000000}" name="Gesamt" totalsRowFunction="custom" dataDxfId="606" totalsRowDxfId="79">
      <totalsRowFormula>SUBTOTAL(9,Tabelle615[Gesamt])</totalsRowFormula>
    </tableColumn>
  </tableColumns>
  <tableStyleInfo name="TableStyleLight2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45000000}" name="Tabelle1822" displayName="Tabelle1822" ref="A3:L23" totalsRowCount="1" headerRowDxfId="605" dataDxfId="603" totalsRowDxfId="601" headerRowBorderDxfId="604" tableBorderDxfId="602">
  <autoFilter ref="A3:L22" xr:uid="{00000000-0009-0000-0100-000015000000}"/>
  <tableColumns count="12">
    <tableColumn id="1" xr3:uid="{00000000-0010-0000-4500-000001000000}" name="Titel" dataDxfId="600" totalsRowDxfId="51"/>
    <tableColumn id="2" xr3:uid="{00000000-0010-0000-4500-000002000000}" name="Kontenbezeichnung" dataDxfId="599" totalsRowDxfId="50"/>
    <tableColumn id="3" xr3:uid="{00000000-0010-0000-4500-000003000000}" name="-" dataDxfId="598" totalsRowDxfId="49"/>
    <tableColumn id="4" xr3:uid="{00000000-0010-0000-4500-000004000000}" name="Erläuterung" totalsRowLabel="Gesamt:" dataDxfId="597" totalsRowDxfId="48"/>
    <tableColumn id="10" xr3:uid="{00000000-0010-0000-4500-00000A000000}" name="Freie Eingabe HHHJ 23-24" totalsRowFunction="custom" dataDxfId="596" totalsRowDxfId="47">
      <totalsRowFormula>SUBTOTAL(109,E10:E22)</totalsRowFormula>
    </tableColumn>
    <tableColumn id="6" xr3:uid="{00000000-0010-0000-4500-000006000000}" name="Rechnung HHJ 23-24" totalsRowFunction="custom" dataDxfId="595" totalsRowDxfId="46">
      <totalsRowFormula>SUBTOTAL(109,F10:F22)</totalsRowFormula>
    </tableColumn>
    <tableColumn id="13" xr3:uid="{00000000-0010-0000-4500-00000D000000}" name="Freie Eingabe Plan 22-23" totalsRowFunction="custom" dataDxfId="594" totalsRowDxfId="45">
      <totalsRowFormula>SUBTOTAL(109,G10:G22)</totalsRowFormula>
    </tableColumn>
    <tableColumn id="11" xr3:uid="{00000000-0010-0000-4500-00000B000000}" name="Rechnung HHJ 22-23" totalsRowFunction="custom" dataDxfId="593" totalsRowDxfId="44">
      <totalsRowFormula>SUBTOTAL(109,H10:H22)</totalsRowFormula>
    </tableColumn>
    <tableColumn id="5" xr3:uid="{00000000-0010-0000-4500-000005000000}" name="Freie Eingabe Plan HHJ 21-22" totalsRowFunction="custom" dataDxfId="592" totalsRowDxfId="43">
      <totalsRowFormula>SUBTOTAL(109,I10:I22)</totalsRowFormula>
    </tableColumn>
    <tableColumn id="7" xr3:uid="{00000000-0010-0000-4500-000007000000}" name="IST HHJ 21-22" totalsRowFunction="custom" dataDxfId="591" totalsRowDxfId="42">
      <totalsRowFormula>SUBTOTAL(109,J10:J22)</totalsRowFormula>
    </tableColumn>
    <tableColumn id="8" xr3:uid="{00000000-0010-0000-4500-000008000000}" name="Abschluss 20-21" dataDxfId="590" totalsRowDxfId="41"/>
    <tableColumn id="9" xr3:uid="{00000000-0010-0000-4500-000009000000}" name="Plan HHJ 20-21" dataDxfId="589" totalsRowDxfId="40"/>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46000000}" name="Tabelle41048" displayName="Tabelle41048" ref="A35:L58" totalsRowCount="1" headerRowDxfId="588" dataDxfId="587" totalsRowDxfId="586">
  <autoFilter ref="A35:L57" xr:uid="{00000000-0009-0000-0100-00002F000000}"/>
  <tableColumns count="12">
    <tableColumn id="13" xr3:uid="{00000000-0010-0000-4600-00000D000000}" name="Lfd. Nr." dataDxfId="585" totalsRowDxfId="30">
      <calculatedColumnFormula>ROW(#REF!)</calculatedColumnFormula>
    </tableColumn>
    <tableColumn id="1" xr3:uid="{00000000-0010-0000-4600-000001000000}" name="Beschreibung/ Kurzbezeichnung" totalsRowLabel="Gesamt:  " dataDxfId="584" totalsRowDxfId="29"/>
    <tableColumn id="2" xr3:uid="{00000000-0010-0000-4600-000002000000}" name="Teilnahmebeiträge Fachseminare" totalsRowFunction="custom" dataDxfId="583" totalsRowDxfId="28">
      <totalsRowFormula>SUBTOTAL(9,Tabelle41048[Teilnahmebeiträge Fachseminare])</totalsRowFormula>
    </tableColumn>
    <tableColumn id="3" xr3:uid="{00000000-0010-0000-4600-000003000000}" name="Teilnahmebeiträge Veranstaltungen" totalsRowFunction="custom" dataDxfId="582" totalsRowDxfId="27">
      <totalsRowFormula>SUBTOTAL(9,Tabelle41048[Teilnahmebeiträge Veranstaltungen])</totalsRowFormula>
    </tableColumn>
    <tableColumn id="4" xr3:uid="{00000000-0010-0000-4600-000004000000}" name="Sonstige Einnahmen" totalsRowFunction="custom" dataDxfId="581" totalsRowDxfId="26">
      <totalsRowFormula>SUBTOTAL(9,Tabelle41048[Sonstige Einnahmen])</totalsRowFormula>
    </tableColumn>
    <tableColumn id="5" xr3:uid="{00000000-0010-0000-4600-000005000000}" name="Honorare Dozierende Fachseminare" totalsRowFunction="custom" dataDxfId="580" totalsRowDxfId="25">
      <totalsRowFormula>SUBTOTAL(9,Tabelle41048[Honorare Dozierende Fachseminare])</totalsRowFormula>
    </tableColumn>
    <tableColumn id="6" xr3:uid="{00000000-0010-0000-4600-000006000000}" name="Aufwandsentschädigungen" totalsRowFunction="custom" dataDxfId="579" totalsRowDxfId="24">
      <totalsRowFormula>SUBTOTAL(9,Tabelle41048[Aufwandsentschädigungen])</totalsRowFormula>
    </tableColumn>
    <tableColumn id="7" xr3:uid="{00000000-0010-0000-4600-000007000000}" name="Externe Reisekosten" totalsRowFunction="custom" dataDxfId="578" totalsRowDxfId="23">
      <totalsRowFormula>SUBTOTAL(9,Tabelle41048[Externe Reisekosten])</totalsRowFormula>
    </tableColumn>
    <tableColumn id="8" xr3:uid="{00000000-0010-0000-4600-000008000000}" name="Repräsentation/Bewirtung extern" totalsRowFunction="custom" dataDxfId="577" totalsRowDxfId="22">
      <totalsRowFormula>SUBTOTAL(9,Tabelle41048[Repräsentation/Bewirtung extern])</totalsRowFormula>
    </tableColumn>
    <tableColumn id="9" xr3:uid="{00000000-0010-0000-4600-000009000000}" name="Raum + Unterkunft extern" totalsRowFunction="custom" dataDxfId="576" totalsRowDxfId="21">
      <totalsRowFormula>SUBTOTAL(9,Tabelle41048[Raum + Unterkunft extern])</totalsRowFormula>
    </tableColumn>
    <tableColumn id="10" xr3:uid="{00000000-0010-0000-4600-00000A000000}" name="Verwaltungs- und Druckkosten" totalsRowFunction="custom" dataDxfId="575" totalsRowDxfId="20">
      <totalsRowFormula>SUBTOTAL(9,Tabelle41048[Verwaltungs- und Druckkosten])</totalsRowFormula>
    </tableColumn>
    <tableColumn id="11" xr3:uid="{00000000-0010-0000-4600-00000B000000}" name="Gesamt" totalsRowFunction="custom" dataDxfId="574" totalsRowDxfId="19">
      <totalsRowFormula>SUBTOTAL(9,Tabelle41048[Gesamt])</totalsRowFormula>
    </tableColumn>
  </tableColumns>
  <tableStyleInfo name="TableStyleLight1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47000000}" name="Tabelle51349" displayName="Tabelle51349" ref="A63:O76" totalsRowCount="1" headerRowDxfId="573" dataDxfId="572" totalsRowDxfId="571">
  <autoFilter ref="A63:O75" xr:uid="{00000000-0009-0000-0100-000030000000}"/>
  <tableColumns count="15">
    <tableColumn id="14" xr3:uid="{00000000-0010-0000-4700-00000E000000}" name="Lfd. Nr." dataDxfId="570" totalsRowDxfId="18">
      <calculatedColumnFormula>ROW(A1)</calculatedColumnFormula>
    </tableColumn>
    <tableColumn id="1" xr3:uid="{00000000-0010-0000-4700-000001000000}" name="Beschreibung" totalsRowLabel="Gesamt:  " dataDxfId="569" totalsRowDxfId="17"/>
    <tableColumn id="2" xr3:uid="{00000000-0010-0000-4700-000002000000}" name="Teilnahmebeiträge Veranstaltungen" totalsRowFunction="custom" dataDxfId="568" totalsRowDxfId="16">
      <totalsRowFormula>SUBTOTAL(9,Tabelle51349[Teilnahmebeiträge Veranstaltungen])</totalsRowFormula>
    </tableColumn>
    <tableColumn id="3" xr3:uid="{00000000-0010-0000-4700-000003000000}" name="Sonstige Einnahmen" totalsRowFunction="custom" dataDxfId="567" totalsRowDxfId="15">
      <totalsRowFormula>SUBTOTAL(9,Tabelle51349[Sonstige Einnahmen])</totalsRowFormula>
    </tableColumn>
    <tableColumn id="4" xr3:uid="{00000000-0010-0000-4700-000004000000}" name="Aufwandsentschädigungen" totalsRowFunction="custom" dataDxfId="566" totalsRowDxfId="14">
      <totalsRowFormula>SUBTOTAL(9,Tabelle51349[Aufwandsentschädigungen])</totalsRowFormula>
    </tableColumn>
    <tableColumn id="5" xr3:uid="{00000000-0010-0000-4700-000005000000}" name="Interne Reisekosten" totalsRowFunction="custom" dataDxfId="565" totalsRowDxfId="13">
      <totalsRowFormula>SUBTOTAL(9,Tabelle51349[Interne Reisekosten])</totalsRowFormula>
    </tableColumn>
    <tableColumn id="6" xr3:uid="{00000000-0010-0000-4700-000006000000}" name="Raum + Unterkunft intern" totalsRowFunction="custom" dataDxfId="564" totalsRowDxfId="12">
      <totalsRowFormula>SUBTOTAL(9,Tabelle51349[Raum + Unterkunft intern])</totalsRowFormula>
    </tableColumn>
    <tableColumn id="7" xr3:uid="{00000000-0010-0000-4700-000007000000}" name="Repräsentation/Bewirtung intern" totalsRowFunction="custom" dataDxfId="563" totalsRowDxfId="11">
      <totalsRowFormula>SUBTOTAL(9,Tabelle51349[Repräsentation/Bewirtung intern])</totalsRowFormula>
    </tableColumn>
    <tableColumn id="8" xr3:uid="{00000000-0010-0000-4700-000008000000}" name="Repräsentation/Bewirtung extern" totalsRowFunction="custom" dataDxfId="562" totalsRowDxfId="10">
      <totalsRowFormula>SUBTOTAL(9,Tabelle51349[Repräsentation/Bewirtung extern])</totalsRowFormula>
    </tableColumn>
    <tableColumn id="9" xr3:uid="{00000000-0010-0000-4700-000009000000}" name="Raum + Unterkunft extern" totalsRowFunction="custom" dataDxfId="561" totalsRowDxfId="9">
      <totalsRowFormula>SUBTOTAL(9,Tabelle51349[Raum + Unterkunft extern])</totalsRowFormula>
    </tableColumn>
    <tableColumn id="10" xr3:uid="{00000000-0010-0000-4700-00000A000000}" name="Druckkosten" totalsRowFunction="custom" dataDxfId="560" totalsRowDxfId="8">
      <totalsRowFormula>SUBTOTAL(9,Tabelle51349[Druckkosten])</totalsRowFormula>
    </tableColumn>
    <tableColumn id="11" xr3:uid="{00000000-0010-0000-4700-00000B000000}" name="Sonstige Kosten" totalsRowFunction="custom" dataDxfId="559" totalsRowDxfId="7">
      <totalsRowFormula>SUBTOTAL(9,Tabelle51349[Sonstige Kosten])</totalsRowFormula>
    </tableColumn>
    <tableColumn id="12" xr3:uid="{00000000-0010-0000-4700-00000C000000}" name="Rechtsangelegenheiten" totalsRowFunction="custom" dataDxfId="558" totalsRowDxfId="6">
      <totalsRowFormula>SUBTOTAL(9,Tabelle51349[Rechtsangelegenheiten])</totalsRowFormula>
    </tableColumn>
    <tableColumn id="15" xr3:uid="{00000000-0010-0000-4700-00000F000000}" name="Andere Honorare" totalsRowFunction="sum" dataDxfId="557" totalsRowDxfId="5"/>
    <tableColumn id="13" xr3:uid="{00000000-0010-0000-4700-00000D000000}" name="Gesamt" totalsRowFunction="custom" dataDxfId="556" totalsRowDxfId="4">
      <calculatedColumnFormula>SUM(C64:D64)-SUM(F64:N64)</calculatedColumnFormula>
      <totalsRowFormula>SUBTOTAL(9,Tabelle51349[Gesamt])</totalsRowFormula>
    </tableColumn>
  </tableColumns>
  <tableStyleInfo name="TableStyleLight16"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48000000}" name="Tabelle61550" displayName="Tabelle61550" ref="A81:I93" totalsRowCount="1" headerRowDxfId="555" dataDxfId="554" totalsRowDxfId="553" dataCellStyle="Link">
  <autoFilter ref="A81:I92" xr:uid="{00000000-0009-0000-0100-000031000000}"/>
  <tableColumns count="9">
    <tableColumn id="1" xr3:uid="{00000000-0010-0000-4800-000001000000}" name="Lfd. Nr. " dataDxfId="552" totalsRowDxfId="39">
      <calculatedColumnFormula>ROW(#REF!)</calculatedColumnFormula>
    </tableColumn>
    <tableColumn id="8" xr3:uid="{00000000-0010-0000-4800-000008000000}" name="Sitzung/Tätigkeit" dataDxfId="551" totalsRowDxfId="38"/>
    <tableColumn id="9" xr3:uid="{00000000-0010-0000-4800-000009000000}" name="Ort oder Datum (falls bekannt)" dataDxfId="550" totalsRowDxfId="37"/>
    <tableColumn id="7" xr3:uid="{00000000-0010-0000-4800-000007000000}" name="Art" totalsRowLabel="Gesamt:  " dataDxfId="549" totalsRowDxfId="36"/>
    <tableColumn id="2" xr3:uid="{00000000-0010-0000-4800-000002000000}" name="Aufwandsentschädigungen" totalsRowFunction="custom" dataDxfId="548" totalsRowDxfId="35" dataCellStyle="Link">
      <totalsRowFormula>SUBTOTAL(9,Tabelle61550[Aufwandsentschädigungen])</totalsRowFormula>
    </tableColumn>
    <tableColumn id="3" xr3:uid="{00000000-0010-0000-4800-000003000000}" name="Interne Reisekosten" totalsRowFunction="custom" dataDxfId="547" totalsRowDxfId="34" dataCellStyle="Link">
      <totalsRowFormula>SUBTOTAL(9,Tabelle61550[Interne Reisekosten])</totalsRowFormula>
    </tableColumn>
    <tableColumn id="4" xr3:uid="{00000000-0010-0000-4800-000004000000}" name="Raum + Unterkunft intern" totalsRowFunction="custom" dataDxfId="546" totalsRowDxfId="33" dataCellStyle="Link">
      <totalsRowFormula>SUBTOTAL(9,Tabelle61550[Raum + Unterkunft intern])</totalsRowFormula>
    </tableColumn>
    <tableColumn id="5" xr3:uid="{00000000-0010-0000-4800-000005000000}" name="Repräsentation/Bewirtung intern" totalsRowFunction="custom" dataDxfId="545" totalsRowDxfId="32" dataCellStyle="Link">
      <totalsRowFormula>SUBTOTAL(9,Tabelle61550[Repräsentation/Bewirtung intern])</totalsRowFormula>
    </tableColumn>
    <tableColumn id="6" xr3:uid="{00000000-0010-0000-4800-000006000000}" name="Gesamt" totalsRowFunction="custom" dataDxfId="544" totalsRowDxfId="31">
      <calculatedColumnFormula>SUM(E82:H82)</calculatedColumnFormula>
      <totalsRowFormula>SUBTOTAL(9,Tabelle61550[Gesamt])</totalsRowFormula>
    </tableColumn>
  </tableColumns>
  <tableStyleInfo name="TableStyleLight2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49000000}" name="Tabelle8" displayName="Tabelle8" ref="A8:R118" totalsRowCount="1" headerRowDxfId="543" dataDxfId="542" tableBorderDxfId="541">
  <autoFilter ref="A8:R117" xr:uid="{00000000-0009-0000-0100-000008000000}"/>
  <tableColumns count="18">
    <tableColumn id="1" xr3:uid="{00000000-0010-0000-4900-000001000000}" name="Referat" totalsRowLabel="Gesamt:" dataDxfId="540" totalsRowDxfId="539"/>
    <tableColumn id="2" xr3:uid="{00000000-0010-0000-4900-000002000000}" name="Honorare Dozierende" totalsRowFunction="custom" dataDxfId="538" totalsRowDxfId="537">
      <totalsRowFormula>SUBTOTAL(9,Tabelle8[Honorare Dozierende])</totalsRowFormula>
    </tableColumn>
    <tableColumn id="3" xr3:uid="{00000000-0010-0000-4900-000003000000}" name="Andere Honorare" totalsRowFunction="custom" dataDxfId="536" totalsRowDxfId="535">
      <totalsRowFormula>SUBTOTAL(9,Tabelle8[Andere Honorare])</totalsRowFormula>
    </tableColumn>
    <tableColumn id="4" xr3:uid="{00000000-0010-0000-4900-000004000000}" name="Interne Reisekosten" totalsRowFunction="custom" dataDxfId="534" totalsRowDxfId="533">
      <totalsRowFormula>SUBTOTAL(9,Tabelle8[Interne Reisekosten])</totalsRowFormula>
    </tableColumn>
    <tableColumn id="5" xr3:uid="{00000000-0010-0000-4900-000005000000}" name="Externe Reisekosten" totalsRowFunction="custom" dataDxfId="532" totalsRowDxfId="531">
      <totalsRowFormula>SUBTOTAL(9,Tabelle8[Externe Reisekosten])</totalsRowFormula>
    </tableColumn>
    <tableColumn id="17" xr3:uid="{00000000-0010-0000-4900-000011000000}" name="Bewirtung/Repräsentation int." totalsRowFunction="custom" dataDxfId="530" totalsRowDxfId="529">
      <totalsRowFormula>SUBTOTAL(9,Tabelle8[Bewirtung/Repräsentation int.])</totalsRowFormula>
    </tableColumn>
    <tableColumn id="7" xr3:uid="{00000000-0010-0000-4900-000007000000}" name="Bewirtung/Repräsentation ext." totalsRowFunction="custom" dataDxfId="528" totalsRowDxfId="527">
      <totalsRowFormula>SUBTOTAL(9,Tabelle8[Bewirtung/Repräsentation ext.])</totalsRowFormula>
    </tableColumn>
    <tableColumn id="18" xr3:uid="{00000000-0010-0000-4900-000012000000}" name="Raum- und Unterkunftskosten int." totalsRowFunction="custom" dataDxfId="526" totalsRowDxfId="525">
      <totalsRowFormula>SUBTOTAL(9,Tabelle8[Raum- und Unterkunftskosten int.])</totalsRowFormula>
    </tableColumn>
    <tableColumn id="8" xr3:uid="{00000000-0010-0000-4900-000008000000}" name="Raum- und Unterkunftskosten ext." totalsRowFunction="custom" dataDxfId="524" totalsRowDxfId="523">
      <totalsRowFormula>SUBTOTAL(9,Tabelle8[Raum- und Unterkunftskosten ext.])</totalsRowFormula>
    </tableColumn>
    <tableColumn id="9" xr3:uid="{00000000-0010-0000-4900-000009000000}" name="Druckkosten" totalsRowFunction="custom" dataDxfId="522" totalsRowDxfId="521">
      <totalsRowFormula>SUBTOTAL(9,Tabelle8[Druckkosten])</totalsRowFormula>
    </tableColumn>
    <tableColumn id="10" xr3:uid="{00000000-0010-0000-4900-00000A000000}" name="Sonstige Ausgaben" totalsRowFunction="custom" dataDxfId="520" totalsRowDxfId="519">
      <totalsRowFormula>SUBTOTAL(9,Tabelle8[Sonstige Ausgaben])</totalsRowFormula>
    </tableColumn>
    <tableColumn id="19" xr3:uid="{00000000-0010-0000-4900-000013000000}" name="IT-Dienstleistungen" totalsRowFunction="custom" dataDxfId="518" totalsRowDxfId="517">
      <totalsRowFormula>SUBTOTAL(9,Tabelle8[IT-Dienstleistungen])</totalsRowFormula>
    </tableColumn>
    <tableColumn id="11" xr3:uid="{00000000-0010-0000-4900-00000B000000}" name="Ausgaben Gesamt" dataDxfId="516" totalsRowDxfId="515">
      <calculatedColumnFormula>SUM(B9:K9)</calculatedColumnFormula>
    </tableColumn>
    <tableColumn id="12" xr3:uid="{00000000-0010-0000-4900-00000C000000}" name="Teilnahmebeiträge Seminare" totalsRowFunction="custom" dataDxfId="514" totalsRowDxfId="513">
      <totalsRowFormula>SUBTOTAL(9,Tabelle8[Teilnahmebeiträge Seminare])</totalsRowFormula>
    </tableColumn>
    <tableColumn id="13" xr3:uid="{00000000-0010-0000-4900-00000D000000}" name="Teilnahmebeiträge Veranstaltungen" totalsRowFunction="custom" dataDxfId="512" totalsRowDxfId="511">
      <totalsRowFormula>SUBTOTAL(9,Tabelle8[Teilnahmebeiträge Veranstaltungen])</totalsRowFormula>
    </tableColumn>
    <tableColumn id="14" xr3:uid="{00000000-0010-0000-4900-00000E000000}" name="Bewirtung Veranst." totalsRowFunction="custom" dataDxfId="510" totalsRowDxfId="509">
      <totalsRowFormula>SUBTOTAL(9,Tabelle8[Bewirtung Veranst.])</totalsRowFormula>
    </tableColumn>
    <tableColumn id="15" xr3:uid="{00000000-0010-0000-4900-00000F000000}" name="Förderungen" totalsRowFunction="custom" dataDxfId="508" totalsRowDxfId="507">
      <totalsRowFormula>SUBTOTAL(9,Tabelle8[Förderungen])</totalsRowFormula>
    </tableColumn>
    <tableColumn id="16" xr3:uid="{00000000-0010-0000-4900-000010000000}" name="Einnahmen Gesamt" totalsRowFunction="custom" dataDxfId="506" totalsRowDxfId="505">
      <totalsRowFormula>SUBTOTAL(9,Tabelle8[Einnahmen Gesamt])</totalsRowFormula>
    </tableColumn>
  </tableColumns>
  <tableStyleInfo name="TableStyleLight1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4A000000}" name="Tabelle13" displayName="Tabelle13" ref="A122:D138" totalsRowCount="1" headerRowDxfId="504" dataDxfId="502" headerRowBorderDxfId="503" tableBorderDxfId="501" totalsRowBorderDxfId="500">
  <autoFilter ref="A122:D137" xr:uid="{00000000-0009-0000-0100-00000D000000}"/>
  <tableColumns count="4">
    <tableColumn id="1" xr3:uid="{00000000-0010-0000-4A00-000001000000}" name="Zuschüsse" totalsRowLabel="Gesamt:  " dataDxfId="499" totalsRowDxfId="3"/>
    <tableColumn id="2" xr3:uid="{00000000-0010-0000-4A00-000002000000}" name="Honorare Doz. Lerngruppen" totalsRowFunction="custom" dataDxfId="498" totalsRowDxfId="2" dataCellStyle="Link">
      <totalsRowFormula>SUBTOTAL(9,Tabelle13[Honorare Doz. Lerngruppen])</totalsRowFormula>
    </tableColumn>
    <tableColumn id="3" xr3:uid="{00000000-0010-0000-4A00-000003000000}" name="Honorare Seminare Campus" totalsRowFunction="custom" dataDxfId="497" totalsRowDxfId="1">
      <totalsRowFormula>SUBTOTAL(9,Tabelle13[Honorare Seminare Campus])</totalsRowFormula>
    </tableColumn>
    <tableColumn id="4" xr3:uid="{00000000-0010-0000-4A00-000004000000}" name="Bewirtung/Repräsentation ext." totalsRowFunction="custom" dataDxfId="496" totalsRowDxfId="0">
      <totalsRowFormula>SUBTOTAL(9,Tabelle13[Bewirtung/Repräsentation ext.])</totalsRowFormula>
    </tableColumn>
  </tableColumns>
  <tableStyleInfo name="TableStyleLight1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table" Target="../tables/table2.xml"/><Relationship Id="rId16" Type="http://schemas.openxmlformats.org/officeDocument/2006/relationships/table" Target="../tables/table16.xml"/><Relationship Id="rId1" Type="http://schemas.openxmlformats.org/officeDocument/2006/relationships/printerSettings" Target="../printerSettings/printerSettings3.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9.xml"/><Relationship Id="rId7" Type="http://schemas.openxmlformats.org/officeDocument/2006/relationships/table" Target="../tables/table23.xml"/><Relationship Id="rId2" Type="http://schemas.openxmlformats.org/officeDocument/2006/relationships/table" Target="../tables/table18.xml"/><Relationship Id="rId1" Type="http://schemas.openxmlformats.org/officeDocument/2006/relationships/printerSettings" Target="../printerSettings/printerSettings4.bin"/><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_rels/sheet6.xml.rels><?xml version="1.0" encoding="UTF-8" standalone="yes"?>
<Relationships xmlns="http://schemas.openxmlformats.org/package/2006/relationships"><Relationship Id="rId8" Type="http://schemas.openxmlformats.org/officeDocument/2006/relationships/table" Target="../tables/table30.xml"/><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printerSettings" Target="../printerSettings/printerSettings5.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table" Target="../tables/table34.xml"/><Relationship Id="rId5" Type="http://schemas.openxmlformats.org/officeDocument/2006/relationships/table" Target="../tables/table33.xml"/><Relationship Id="rId4" Type="http://schemas.openxmlformats.org/officeDocument/2006/relationships/table" Target="../tables/table3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5.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36.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37.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38.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8" Type="http://schemas.openxmlformats.org/officeDocument/2006/relationships/table" Target="../tables/table44.xml"/><Relationship Id="rId3" Type="http://schemas.openxmlformats.org/officeDocument/2006/relationships/table" Target="../tables/table39.xml"/><Relationship Id="rId7" Type="http://schemas.openxmlformats.org/officeDocument/2006/relationships/table" Target="../tables/table43.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6" Type="http://schemas.openxmlformats.org/officeDocument/2006/relationships/table" Target="../tables/table42.xml"/><Relationship Id="rId5" Type="http://schemas.openxmlformats.org/officeDocument/2006/relationships/table" Target="../tables/table41.xml"/><Relationship Id="rId10" Type="http://schemas.openxmlformats.org/officeDocument/2006/relationships/comments" Target="../comments5.xml"/><Relationship Id="rId4" Type="http://schemas.openxmlformats.org/officeDocument/2006/relationships/table" Target="../tables/table40.xml"/><Relationship Id="rId9" Type="http://schemas.openxmlformats.org/officeDocument/2006/relationships/table" Target="../tables/table45.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51.xml"/><Relationship Id="rId3" Type="http://schemas.openxmlformats.org/officeDocument/2006/relationships/table" Target="../tables/table46.xml"/><Relationship Id="rId7" Type="http://schemas.openxmlformats.org/officeDocument/2006/relationships/table" Target="../tables/table50.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6" Type="http://schemas.openxmlformats.org/officeDocument/2006/relationships/table" Target="../tables/table49.xml"/><Relationship Id="rId5" Type="http://schemas.openxmlformats.org/officeDocument/2006/relationships/table" Target="../tables/table48.xml"/><Relationship Id="rId10" Type="http://schemas.openxmlformats.org/officeDocument/2006/relationships/comments" Target="../comments6.xml"/><Relationship Id="rId4" Type="http://schemas.openxmlformats.org/officeDocument/2006/relationships/table" Target="../tables/table47.xml"/><Relationship Id="rId9" Type="http://schemas.openxmlformats.org/officeDocument/2006/relationships/table" Target="../tables/table5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8" Type="http://schemas.openxmlformats.org/officeDocument/2006/relationships/table" Target="../tables/table58.xml"/><Relationship Id="rId3" Type="http://schemas.openxmlformats.org/officeDocument/2006/relationships/table" Target="../tables/table53.xml"/><Relationship Id="rId7" Type="http://schemas.openxmlformats.org/officeDocument/2006/relationships/table" Target="../tables/table57.xml"/><Relationship Id="rId2" Type="http://schemas.openxmlformats.org/officeDocument/2006/relationships/vmlDrawing" Target="../drawings/vmlDrawing7.vml"/><Relationship Id="rId1" Type="http://schemas.openxmlformats.org/officeDocument/2006/relationships/printerSettings" Target="../printerSettings/printerSettings10.bin"/><Relationship Id="rId6" Type="http://schemas.openxmlformats.org/officeDocument/2006/relationships/table" Target="../tables/table56.xml"/><Relationship Id="rId5" Type="http://schemas.openxmlformats.org/officeDocument/2006/relationships/table" Target="../tables/table55.xml"/><Relationship Id="rId10" Type="http://schemas.openxmlformats.org/officeDocument/2006/relationships/comments" Target="../comments7.xml"/><Relationship Id="rId4" Type="http://schemas.openxmlformats.org/officeDocument/2006/relationships/table" Target="../tables/table54.xml"/><Relationship Id="rId9" Type="http://schemas.openxmlformats.org/officeDocument/2006/relationships/table" Target="../tables/table59.xml"/></Relationships>
</file>

<file path=xl/worksheets/_rels/sheet17.xml.rels><?xml version="1.0" encoding="UTF-8" standalone="yes"?>
<Relationships xmlns="http://schemas.openxmlformats.org/package/2006/relationships"><Relationship Id="rId8" Type="http://schemas.openxmlformats.org/officeDocument/2006/relationships/table" Target="../tables/table65.xml"/><Relationship Id="rId3" Type="http://schemas.openxmlformats.org/officeDocument/2006/relationships/table" Target="../tables/table60.xml"/><Relationship Id="rId7" Type="http://schemas.openxmlformats.org/officeDocument/2006/relationships/table" Target="../tables/table64.xml"/><Relationship Id="rId2" Type="http://schemas.openxmlformats.org/officeDocument/2006/relationships/vmlDrawing" Target="../drawings/vmlDrawing8.vml"/><Relationship Id="rId1" Type="http://schemas.openxmlformats.org/officeDocument/2006/relationships/printerSettings" Target="../printerSettings/printerSettings11.bin"/><Relationship Id="rId6" Type="http://schemas.openxmlformats.org/officeDocument/2006/relationships/table" Target="../tables/table63.xml"/><Relationship Id="rId5" Type="http://schemas.openxmlformats.org/officeDocument/2006/relationships/table" Target="../tables/table62.xml"/><Relationship Id="rId10" Type="http://schemas.openxmlformats.org/officeDocument/2006/relationships/comments" Target="../comments8.xml"/><Relationship Id="rId4" Type="http://schemas.openxmlformats.org/officeDocument/2006/relationships/table" Target="../tables/table61.xml"/><Relationship Id="rId9" Type="http://schemas.openxmlformats.org/officeDocument/2006/relationships/table" Target="../tables/table66.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72.xml"/><Relationship Id="rId3" Type="http://schemas.openxmlformats.org/officeDocument/2006/relationships/table" Target="../tables/table67.xml"/><Relationship Id="rId7" Type="http://schemas.openxmlformats.org/officeDocument/2006/relationships/table" Target="../tables/table71.xml"/><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6" Type="http://schemas.openxmlformats.org/officeDocument/2006/relationships/table" Target="../tables/table70.xml"/><Relationship Id="rId5" Type="http://schemas.openxmlformats.org/officeDocument/2006/relationships/table" Target="../tables/table69.xml"/><Relationship Id="rId10" Type="http://schemas.openxmlformats.org/officeDocument/2006/relationships/comments" Target="../comments9.xml"/><Relationship Id="rId4" Type="http://schemas.openxmlformats.org/officeDocument/2006/relationships/table" Target="../tables/table68.xml"/><Relationship Id="rId9" Type="http://schemas.openxmlformats.org/officeDocument/2006/relationships/table" Target="../tables/table73.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75.xml"/><Relationship Id="rId2" Type="http://schemas.openxmlformats.org/officeDocument/2006/relationships/table" Target="../tables/table7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6"/>
  <sheetViews>
    <sheetView tabSelected="1" zoomScale="148" zoomScaleNormal="148" workbookViewId="0">
      <pane xSplit="2" ySplit="5" topLeftCell="H275" activePane="bottomRight" state="frozen"/>
      <selection pane="topRight" activeCell="C1" sqref="C1"/>
      <selection pane="bottomLeft" activeCell="A6" sqref="A6"/>
      <selection pane="bottomRight" activeCell="H279" sqref="H279"/>
    </sheetView>
  </sheetViews>
  <sheetFormatPr baseColWidth="10" defaultColWidth="11.44140625" defaultRowHeight="14.4" outlineLevelRow="3" x14ac:dyDescent="0.3"/>
  <cols>
    <col min="1" max="1" width="12.44140625" style="137" customWidth="1"/>
    <col min="2" max="2" width="15.109375" style="151" hidden="1" customWidth="1"/>
    <col min="3" max="3" width="24.44140625" style="151" hidden="1" customWidth="1"/>
    <col min="4" max="4" width="10.44140625" style="151" hidden="1" customWidth="1"/>
    <col min="5" max="5" width="16.77734375" style="151" hidden="1" customWidth="1"/>
    <col min="6" max="6" width="23" style="207" hidden="1" customWidth="1"/>
    <col min="7" max="7" width="20.44140625" hidden="1" customWidth="1"/>
    <col min="8" max="8" width="44" customWidth="1"/>
    <col min="9" max="10" width="21.109375" customWidth="1"/>
    <col min="11" max="11" width="21.109375" style="14" customWidth="1"/>
    <col min="12" max="13" width="20.44140625" customWidth="1"/>
    <col min="14" max="14" width="17.109375" style="14" customWidth="1"/>
    <col min="15" max="15" width="15.6640625" style="14" customWidth="1"/>
    <col min="16" max="16" width="15" style="14" customWidth="1"/>
    <col min="17" max="17" width="0" hidden="1" customWidth="1"/>
    <col min="18" max="21" width="13.33203125" hidden="1" customWidth="1"/>
    <col min="22" max="22" width="13.44140625" customWidth="1"/>
    <col min="23" max="23" width="28.6640625" customWidth="1"/>
  </cols>
  <sheetData>
    <row r="1" spans="1:25" ht="23.4" x14ac:dyDescent="0.45">
      <c r="A1" s="209" t="s">
        <v>1581</v>
      </c>
      <c r="B1" s="147"/>
      <c r="C1" s="147"/>
      <c r="D1" s="147"/>
      <c r="E1" s="147"/>
      <c r="F1" s="204"/>
      <c r="G1" s="1"/>
    </row>
    <row r="3" spans="1:25" ht="15.6" x14ac:dyDescent="0.3">
      <c r="A3" s="208" t="s">
        <v>0</v>
      </c>
      <c r="B3" s="147"/>
      <c r="C3" s="147"/>
      <c r="D3" s="147"/>
      <c r="E3" s="147"/>
      <c r="F3" s="204"/>
      <c r="G3" s="5"/>
      <c r="H3" s="5"/>
      <c r="I3" s="5"/>
      <c r="J3" s="5"/>
      <c r="K3" s="15"/>
      <c r="L3" s="5"/>
      <c r="M3" s="5"/>
      <c r="N3" s="15"/>
      <c r="O3" s="15"/>
      <c r="P3" s="15"/>
    </row>
    <row r="4" spans="1:25" ht="15.6" x14ac:dyDescent="0.3">
      <c r="A4" s="197"/>
      <c r="B4" s="147"/>
      <c r="C4" s="147"/>
      <c r="D4" s="147"/>
      <c r="E4" s="147"/>
      <c r="F4" s="204"/>
      <c r="G4" s="5"/>
      <c r="H4" s="5"/>
      <c r="I4" s="5" t="s">
        <v>1515</v>
      </c>
      <c r="J4" s="5"/>
      <c r="K4" s="15" t="s">
        <v>1513</v>
      </c>
      <c r="L4" s="5"/>
      <c r="M4" s="5" t="s">
        <v>1516</v>
      </c>
      <c r="N4" s="15"/>
      <c r="O4" s="649"/>
      <c r="P4" s="649" t="s">
        <v>1252</v>
      </c>
    </row>
    <row r="5" spans="1:25" s="207" customFormat="1" ht="28.8" x14ac:dyDescent="0.3">
      <c r="A5" s="204" t="s">
        <v>1</v>
      </c>
      <c r="B5" s="205" t="s">
        <v>2</v>
      </c>
      <c r="C5" s="204" t="s">
        <v>1470</v>
      </c>
      <c r="D5" s="204" t="s">
        <v>1488</v>
      </c>
      <c r="E5" s="204" t="s">
        <v>1506</v>
      </c>
      <c r="F5" s="204" t="s">
        <v>1482</v>
      </c>
      <c r="G5" s="204" t="s">
        <v>3</v>
      </c>
      <c r="H5" s="204" t="s">
        <v>4</v>
      </c>
      <c r="I5" s="204" t="s">
        <v>1514</v>
      </c>
      <c r="J5" s="204" t="s">
        <v>1512</v>
      </c>
      <c r="K5" s="206" t="s">
        <v>1400</v>
      </c>
      <c r="L5" s="204" t="s">
        <v>1328</v>
      </c>
      <c r="M5" s="204" t="s">
        <v>1329</v>
      </c>
      <c r="N5" s="206" t="s">
        <v>5</v>
      </c>
      <c r="O5" s="206" t="s">
        <v>6</v>
      </c>
      <c r="P5" s="206" t="s">
        <v>7</v>
      </c>
      <c r="Q5" s="206" t="s">
        <v>1326</v>
      </c>
      <c r="R5" s="206" t="s">
        <v>1327</v>
      </c>
      <c r="S5" s="753" t="s">
        <v>1323</v>
      </c>
      <c r="T5" s="753" t="s">
        <v>1324</v>
      </c>
      <c r="U5" s="753" t="s">
        <v>1325</v>
      </c>
      <c r="V5" s="753" t="s">
        <v>1299</v>
      </c>
      <c r="W5" s="207" t="s">
        <v>9</v>
      </c>
    </row>
    <row r="6" spans="1:25" s="6" customFormat="1" x14ac:dyDescent="0.3">
      <c r="A6" s="157" t="s">
        <v>11</v>
      </c>
      <c r="B6" s="148">
        <f t="shared" ref="B6:B65" si="0">ROW(B1)</f>
        <v>1</v>
      </c>
      <c r="C6" s="2"/>
      <c r="D6" s="2"/>
      <c r="E6" s="2"/>
      <c r="F6" s="1224"/>
      <c r="G6" s="2"/>
      <c r="H6" s="2" t="s">
        <v>12</v>
      </c>
      <c r="I6" s="23">
        <f>I7+I11++I18+I23+I27+I32</f>
        <v>556600</v>
      </c>
      <c r="J6" s="23">
        <f>J7+J11++J18+J23+J27+J32</f>
        <v>1064521.18</v>
      </c>
      <c r="K6" s="23">
        <f>K7+K11++K18+K23+K27+K32</f>
        <v>1028270.0199999999</v>
      </c>
      <c r="L6" s="23">
        <f t="shared" ref="L6:S6" si="1">L7+L11++L18+L23+L27+L32</f>
        <v>774226.25</v>
      </c>
      <c r="M6" s="23">
        <f t="shared" si="1"/>
        <v>1076480.3799999999</v>
      </c>
      <c r="N6" s="23">
        <f t="shared" si="1"/>
        <v>1076950</v>
      </c>
      <c r="O6" s="23">
        <f>O7+O11++O18+O23+O27+O32</f>
        <v>600000</v>
      </c>
      <c r="P6" s="23">
        <f t="shared" si="1"/>
        <v>591157.19000000006</v>
      </c>
      <c r="Q6" s="23">
        <f t="shared" si="1"/>
        <v>0</v>
      </c>
      <c r="R6" s="23">
        <f t="shared" si="1"/>
        <v>0</v>
      </c>
      <c r="S6" s="23">
        <f t="shared" si="1"/>
        <v>257110.45</v>
      </c>
      <c r="T6" s="23">
        <f>T7+T11++T18+T23+T27+T32</f>
        <v>458437.12</v>
      </c>
      <c r="U6" s="23">
        <f>U7+U11++U18+U23+U27+U32</f>
        <v>490824.83</v>
      </c>
      <c r="V6" s="16"/>
    </row>
    <row r="7" spans="1:25" outlineLevel="1" x14ac:dyDescent="0.3">
      <c r="A7" s="198" t="s">
        <v>13</v>
      </c>
      <c r="B7" s="149">
        <f t="shared" si="0"/>
        <v>2</v>
      </c>
      <c r="C7" s="4"/>
      <c r="D7" s="4"/>
      <c r="E7" s="4"/>
      <c r="F7" s="1225"/>
      <c r="G7" s="4"/>
      <c r="H7" s="4" t="s">
        <v>14</v>
      </c>
      <c r="I7" s="17">
        <f>SUBTOTAL(9,I8:I9)</f>
        <v>537000</v>
      </c>
      <c r="J7" s="17">
        <f>SUBTOTAL(9,J8:J9)</f>
        <v>1053021.18</v>
      </c>
      <c r="K7" s="17">
        <f>SUBTOTAL(9,K8:K9)</f>
        <v>1023380.82</v>
      </c>
      <c r="L7" s="17">
        <f>SUBTOTAL(9,L8:L9)</f>
        <v>752600</v>
      </c>
      <c r="M7" s="17">
        <f>SUBTOTAL(9,M8:M9)</f>
        <v>1066613.3799999999</v>
      </c>
      <c r="N7" s="17">
        <f t="shared" ref="N7:U7" si="2">SUBTOTAL(9,N8:N9)</f>
        <v>1044000</v>
      </c>
      <c r="O7" s="17">
        <f t="shared" si="2"/>
        <v>560000</v>
      </c>
      <c r="P7" s="17">
        <f t="shared" si="2"/>
        <v>578722.64</v>
      </c>
      <c r="Q7" s="17">
        <f t="shared" si="2"/>
        <v>0</v>
      </c>
      <c r="R7" s="17">
        <f t="shared" si="2"/>
        <v>0</v>
      </c>
      <c r="S7" s="17">
        <f t="shared" si="2"/>
        <v>255005.45</v>
      </c>
      <c r="T7" s="17">
        <f t="shared" si="2"/>
        <v>455812.12</v>
      </c>
      <c r="U7" s="17">
        <f t="shared" si="2"/>
        <v>487889.83</v>
      </c>
      <c r="V7" s="14"/>
      <c r="W7" t="s">
        <v>1388</v>
      </c>
      <c r="Y7" s="6"/>
    </row>
    <row r="8" spans="1:25" outlineLevel="2" x14ac:dyDescent="0.3">
      <c r="A8" s="199" t="s">
        <v>15</v>
      </c>
      <c r="B8" s="150">
        <v>4000</v>
      </c>
      <c r="C8" s="3">
        <v>4000</v>
      </c>
      <c r="D8" s="3">
        <v>1</v>
      </c>
      <c r="E8" s="3"/>
      <c r="F8" s="276"/>
      <c r="G8" s="3" t="s">
        <v>1202</v>
      </c>
      <c r="H8" s="3" t="s">
        <v>16</v>
      </c>
      <c r="I8" s="1210">
        <v>535000</v>
      </c>
      <c r="J8" s="1210">
        <v>523021.18</v>
      </c>
      <c r="K8" s="18">
        <f>VLOOKUP(Tabelle1[[#This Row],[Titel]],[2]Haushalt!$A:$S,19,FALSE)</f>
        <v>1023380.82</v>
      </c>
      <c r="L8" s="18">
        <f>(53000*9)*1.05</f>
        <v>500850</v>
      </c>
      <c r="M8" s="947">
        <f>VLOOKUP(Tabelle1[[#This Row],[Titel]],[3]Haushalt!$A$8:$W$282,8,FALSE)</f>
        <v>1066613.3799999999</v>
      </c>
      <c r="N8" s="18">
        <f>(58000*9)*1.05</f>
        <v>548100</v>
      </c>
      <c r="O8" s="18">
        <v>0</v>
      </c>
      <c r="P8" s="18"/>
      <c r="Q8" s="18"/>
      <c r="R8" s="18"/>
      <c r="S8" s="18">
        <f>HHJ_2022_2023!H24</f>
        <v>255005.45</v>
      </c>
      <c r="T8" s="18">
        <f>HHJ_2022_2023!J24</f>
        <v>455812.12</v>
      </c>
      <c r="U8" s="18">
        <f>HHJ_2022_2023!L24</f>
        <v>487889.83</v>
      </c>
      <c r="V8" s="14"/>
      <c r="W8" t="s">
        <v>1389</v>
      </c>
      <c r="X8" s="6"/>
      <c r="Y8" s="6"/>
    </row>
    <row r="9" spans="1:25" outlineLevel="2" x14ac:dyDescent="0.3">
      <c r="A9" s="199" t="s">
        <v>17</v>
      </c>
      <c r="B9" s="150">
        <f t="shared" si="0"/>
        <v>4</v>
      </c>
      <c r="C9" s="3">
        <v>4000</v>
      </c>
      <c r="D9" s="3">
        <v>1</v>
      </c>
      <c r="E9" s="3"/>
      <c r="F9" s="276"/>
      <c r="G9" s="3" t="s">
        <v>1201</v>
      </c>
      <c r="H9" s="3" t="s">
        <v>18</v>
      </c>
      <c r="I9" s="1210">
        <v>2000</v>
      </c>
      <c r="J9" s="1210">
        <v>530000</v>
      </c>
      <c r="K9" s="18">
        <f>VLOOKUP(Tabelle1[[#This Row],[Titel]],[2]Haushalt!$A:$S,19,FALSE)</f>
        <v>0</v>
      </c>
      <c r="L9" s="18">
        <f>(53000*5)*0.95</f>
        <v>251750</v>
      </c>
      <c r="M9" s="947">
        <f>VLOOKUP(Tabelle1[[#This Row],[Titel]],[3]Haushalt!$A$8:$W$282,8,FALSE)</f>
        <v>0</v>
      </c>
      <c r="N9" s="18">
        <f>(58000*9)*0.95</f>
        <v>495900</v>
      </c>
      <c r="O9" s="18">
        <v>560000</v>
      </c>
      <c r="P9" s="18">
        <v>578722.64</v>
      </c>
      <c r="Q9" s="18"/>
      <c r="R9" s="18"/>
      <c r="S9" s="18">
        <v>0</v>
      </c>
      <c r="T9" s="18">
        <v>0</v>
      </c>
      <c r="U9" s="18">
        <v>0</v>
      </c>
      <c r="V9" s="14"/>
      <c r="Y9" s="6"/>
    </row>
    <row r="10" spans="1:25" outlineLevel="1" x14ac:dyDescent="0.3">
      <c r="A10" s="200"/>
      <c r="B10" s="151">
        <f t="shared" si="0"/>
        <v>5</v>
      </c>
      <c r="C10"/>
      <c r="D10"/>
      <c r="E10"/>
      <c r="G10" s="32"/>
      <c r="H10" s="32"/>
      <c r="I10" s="32"/>
      <c r="J10" s="32"/>
      <c r="K10" s="33"/>
      <c r="L10" s="32"/>
      <c r="M10" s="33"/>
      <c r="N10" s="33"/>
      <c r="O10" s="33"/>
      <c r="P10" s="33"/>
      <c r="Q10" s="33"/>
      <c r="R10" s="33"/>
      <c r="S10" s="33"/>
      <c r="T10" s="33"/>
      <c r="U10" s="33"/>
      <c r="V10" s="14"/>
      <c r="X10" s="6"/>
      <c r="Y10" s="6"/>
    </row>
    <row r="11" spans="1:25" outlineLevel="1" x14ac:dyDescent="0.3">
      <c r="A11" s="198" t="s">
        <v>19</v>
      </c>
      <c r="B11" s="149">
        <f t="shared" si="0"/>
        <v>6</v>
      </c>
      <c r="C11" s="4"/>
      <c r="D11" s="4"/>
      <c r="E11" s="4"/>
      <c r="F11" s="1225"/>
      <c r="G11" s="4"/>
      <c r="H11" s="4" t="s">
        <v>20</v>
      </c>
      <c r="I11" s="17">
        <f>SUBTOTAL(9,I12:I15)</f>
        <v>5100</v>
      </c>
      <c r="J11" s="17">
        <f>SUBTOTAL(9,J12:J15)</f>
        <v>1000</v>
      </c>
      <c r="K11" s="17">
        <f>VLOOKUP(Tabelle1[[#This Row],[Titel]],[2]Haushalt!$A:$S,19,FALSE)</f>
        <v>300</v>
      </c>
      <c r="L11" s="17">
        <f>SUBTOTAL(9,L12:L15)</f>
        <v>4500</v>
      </c>
      <c r="M11" s="946">
        <f>VLOOKUP(Tabelle1[[#This Row],[Titel]],[3]Haushalt!$A$8:$W$282,8,FALSE)</f>
        <v>3805</v>
      </c>
      <c r="N11" s="17">
        <f t="shared" ref="N11:U11" si="3">SUBTOTAL(9,N12:N15)</f>
        <v>2000</v>
      </c>
      <c r="O11" s="17">
        <f t="shared" si="3"/>
        <v>6000</v>
      </c>
      <c r="P11" s="17">
        <f t="shared" si="3"/>
        <v>6205</v>
      </c>
      <c r="Q11" s="17">
        <f t="shared" si="3"/>
        <v>0</v>
      </c>
      <c r="R11" s="17">
        <f t="shared" si="3"/>
        <v>0</v>
      </c>
      <c r="S11" s="17">
        <f t="shared" si="3"/>
        <v>1975</v>
      </c>
      <c r="T11" s="17">
        <f t="shared" si="3"/>
        <v>1975</v>
      </c>
      <c r="U11" s="17">
        <f t="shared" si="3"/>
        <v>1975</v>
      </c>
      <c r="V11" s="14"/>
      <c r="Y11" s="6"/>
    </row>
    <row r="12" spans="1:25" hidden="1" outlineLevel="2" x14ac:dyDescent="0.3">
      <c r="A12" s="199" t="s">
        <v>21</v>
      </c>
      <c r="B12" s="150">
        <f t="shared" si="0"/>
        <v>7</v>
      </c>
      <c r="C12" s="3">
        <v>4211</v>
      </c>
      <c r="D12" s="3">
        <v>1</v>
      </c>
      <c r="E12" s="3"/>
      <c r="F12" s="276"/>
      <c r="G12" s="3" t="s">
        <v>22</v>
      </c>
      <c r="H12" s="3" t="s">
        <v>23</v>
      </c>
      <c r="I12" s="18">
        <v>1000</v>
      </c>
      <c r="J12" s="18">
        <v>1000</v>
      </c>
      <c r="K12" s="1210">
        <f>VLOOKUP(Tabelle1[[#This Row],[Titel]],[2]Haushalt!$A:$S,19,FALSE)</f>
        <v>300</v>
      </c>
      <c r="L12" s="18">
        <v>4000</v>
      </c>
      <c r="M12" s="947">
        <f>VLOOKUP(Tabelle1[[#This Row],[Titel]],[3]Haushalt!$A$8:$W$282,8,FALSE)</f>
        <v>3805</v>
      </c>
      <c r="N12" s="18">
        <v>2000</v>
      </c>
      <c r="O12" s="18">
        <v>6000</v>
      </c>
      <c r="P12" s="18">
        <v>6205</v>
      </c>
      <c r="Q12" s="18"/>
      <c r="R12" s="18"/>
      <c r="S12" s="18">
        <f>HHJ_2022_2023!H9+HHJ_2022_2023!H10</f>
        <v>1975</v>
      </c>
      <c r="T12" s="18">
        <f>HHJ_2022_2023!J9+HHJ_2022_2023!J10</f>
        <v>1975</v>
      </c>
      <c r="U12" s="18">
        <f>HHJ_2022_2023!L9+HHJ_2022_2023!L10</f>
        <v>1975</v>
      </c>
      <c r="V12" s="14"/>
      <c r="X12" s="6"/>
      <c r="Y12" s="6"/>
    </row>
    <row r="13" spans="1:25" hidden="1" outlineLevel="2" x14ac:dyDescent="0.3">
      <c r="A13" s="199" t="s">
        <v>24</v>
      </c>
      <c r="B13" s="150">
        <f t="shared" si="0"/>
        <v>8</v>
      </c>
      <c r="C13" s="3">
        <v>4040</v>
      </c>
      <c r="D13" s="3">
        <v>1</v>
      </c>
      <c r="E13" s="3"/>
      <c r="F13" s="276"/>
      <c r="G13" s="276">
        <v>119.21</v>
      </c>
      <c r="H13" s="3" t="s">
        <v>25</v>
      </c>
      <c r="I13" s="18">
        <v>0</v>
      </c>
      <c r="J13" s="18">
        <v>0</v>
      </c>
      <c r="K13" s="1210">
        <f>VLOOKUP(Tabelle1[[#This Row],[Titel]],[2]Haushalt!$A:$S,19,FALSE)</f>
        <v>0</v>
      </c>
      <c r="L13" s="18">
        <v>0</v>
      </c>
      <c r="M13" s="947">
        <f>VLOOKUP(Tabelle1[[#This Row],[Titel]],[3]Haushalt!$A$8:$W$282,8,FALSE)</f>
        <v>0</v>
      </c>
      <c r="N13" s="18">
        <v>0</v>
      </c>
      <c r="O13" s="18">
        <v>0</v>
      </c>
      <c r="P13" s="18">
        <v>0</v>
      </c>
      <c r="Q13" s="18"/>
      <c r="R13" s="18"/>
      <c r="S13" s="18">
        <f>HHJ_2022_2023!H7</f>
        <v>0</v>
      </c>
      <c r="T13" s="18">
        <f>HHJ_2022_2023!J7</f>
        <v>0</v>
      </c>
      <c r="U13" s="18">
        <f>HHJ_2022_2023!L7</f>
        <v>0</v>
      </c>
      <c r="V13" s="14"/>
      <c r="Y13" s="6"/>
    </row>
    <row r="14" spans="1:25" hidden="1" outlineLevel="2" x14ac:dyDescent="0.3">
      <c r="A14" s="199" t="s">
        <v>26</v>
      </c>
      <c r="B14" s="150">
        <f>ROW(B9)</f>
        <v>9</v>
      </c>
      <c r="C14" s="3">
        <v>7020</v>
      </c>
      <c r="D14" s="3">
        <v>2</v>
      </c>
      <c r="E14" s="3"/>
      <c r="F14" s="276"/>
      <c r="G14" s="3" t="s">
        <v>27</v>
      </c>
      <c r="H14" s="3" t="s">
        <v>28</v>
      </c>
      <c r="I14" s="18">
        <v>4000</v>
      </c>
      <c r="J14" s="18">
        <v>0</v>
      </c>
      <c r="K14" s="1210">
        <f>VLOOKUP(Tabelle1[[#This Row],[Titel]],[2]Haushalt!$A:$S,19,FALSE)</f>
        <v>0</v>
      </c>
      <c r="L14" s="18">
        <v>500</v>
      </c>
      <c r="M14" s="947">
        <f>VLOOKUP(Tabelle1[[#This Row],[Titel]],[3]Haushalt!$A$8:$W$282,8,FALSE)</f>
        <v>0</v>
      </c>
      <c r="N14" s="18">
        <v>0</v>
      </c>
      <c r="O14" s="18">
        <v>0</v>
      </c>
      <c r="P14" s="18">
        <v>0</v>
      </c>
      <c r="Q14" s="18"/>
      <c r="R14" s="18"/>
      <c r="S14" s="18">
        <f>HHJ_2022_2023!H21</f>
        <v>0</v>
      </c>
      <c r="T14" s="18">
        <f>HHJ_2022_2023!J21</f>
        <v>0</v>
      </c>
      <c r="U14" s="18">
        <f>HHJ_2022_2023!L21</f>
        <v>0</v>
      </c>
      <c r="V14" s="14"/>
      <c r="X14" s="6"/>
      <c r="Y14" s="6"/>
    </row>
    <row r="15" spans="1:25" hidden="1" outlineLevel="2" x14ac:dyDescent="0.3">
      <c r="A15" s="199" t="s">
        <v>29</v>
      </c>
      <c r="B15" s="150">
        <f>ROW(B9)</f>
        <v>9</v>
      </c>
      <c r="C15" s="3">
        <v>4099</v>
      </c>
      <c r="D15" s="3">
        <v>1</v>
      </c>
      <c r="E15" s="3"/>
      <c r="F15" s="276"/>
      <c r="G15" s="3" t="s">
        <v>30</v>
      </c>
      <c r="H15" s="3" t="s">
        <v>31</v>
      </c>
      <c r="I15" s="18">
        <v>100</v>
      </c>
      <c r="J15" s="18">
        <v>0</v>
      </c>
      <c r="K15" s="1210">
        <f>VLOOKUP(Tabelle1[[#This Row],[Titel]],[2]Haushalt!$A:$S,19,FALSE)</f>
        <v>0</v>
      </c>
      <c r="L15" s="18">
        <v>0</v>
      </c>
      <c r="M15" s="947">
        <f>VLOOKUP(Tabelle1[[#This Row],[Titel]],[3]Haushalt!$A$8:$W$282,8,FALSE)</f>
        <v>0</v>
      </c>
      <c r="N15" s="18">
        <v>0</v>
      </c>
      <c r="O15" s="18">
        <v>0</v>
      </c>
      <c r="P15" s="18">
        <v>0</v>
      </c>
      <c r="Q15" s="18"/>
      <c r="R15" s="18"/>
      <c r="S15" s="18">
        <f>HHJ_2022_2023!H8</f>
        <v>0</v>
      </c>
      <c r="T15" s="18">
        <f>HHJ_2022_2023!J8</f>
        <v>0</v>
      </c>
      <c r="U15" s="18">
        <f>HHJ_2022_2023!L8</f>
        <v>0</v>
      </c>
      <c r="V15" s="14"/>
      <c r="Y15" s="6"/>
    </row>
    <row r="16" spans="1:25" outlineLevel="1" collapsed="1" x14ac:dyDescent="0.3">
      <c r="B16" s="151">
        <f>ROW(B10)</f>
        <v>10</v>
      </c>
      <c r="C16"/>
      <c r="D16"/>
      <c r="E16"/>
      <c r="M16" s="33"/>
      <c r="Q16" s="14"/>
      <c r="R16" s="14"/>
      <c r="S16" s="14"/>
      <c r="T16" s="14"/>
      <c r="U16" s="14"/>
      <c r="V16" s="14"/>
      <c r="X16" s="6"/>
      <c r="Y16" s="6"/>
    </row>
    <row r="17" spans="1:25" outlineLevel="1" x14ac:dyDescent="0.3">
      <c r="B17" s="151" t="e">
        <f>ROW(#REF!)</f>
        <v>#REF!</v>
      </c>
      <c r="C17"/>
      <c r="D17"/>
      <c r="E17"/>
      <c r="M17" s="33"/>
      <c r="Q17" s="14"/>
      <c r="R17" s="14"/>
      <c r="S17" s="14"/>
      <c r="T17" s="14"/>
      <c r="U17" s="14"/>
      <c r="V17" s="14"/>
      <c r="Y17" s="6"/>
    </row>
    <row r="18" spans="1:25" outlineLevel="1" x14ac:dyDescent="0.3">
      <c r="A18" s="198" t="s">
        <v>32</v>
      </c>
      <c r="B18" s="149" t="e">
        <f>ROW(#REF!)</f>
        <v>#REF!</v>
      </c>
      <c r="C18" s="4"/>
      <c r="D18" s="4"/>
      <c r="E18" s="4"/>
      <c r="F18" s="1225"/>
      <c r="G18" s="4"/>
      <c r="H18" s="4" t="s">
        <v>33</v>
      </c>
      <c r="I18" s="17">
        <f>SUBTOTAL(9,I19:I20)</f>
        <v>4000</v>
      </c>
      <c r="J18" s="17">
        <f>SUBTOTAL(9,J19:J20)</f>
        <v>2500</v>
      </c>
      <c r="K18" s="17">
        <f>VLOOKUP(Tabelle1[[#This Row],[Titel]],[2]Haushalt!$A:$S,19,FALSE)</f>
        <v>2161.1999999999998</v>
      </c>
      <c r="L18" s="17">
        <f>SUBTOTAL(9,L19:L20)</f>
        <v>2950</v>
      </c>
      <c r="M18" s="946">
        <f>VLOOKUP(Tabelle1[[#This Row],[Titel]],[3]Haushalt!$A$8:$W$282,8,FALSE)</f>
        <v>800</v>
      </c>
      <c r="N18" s="17">
        <f>SUBTOTAL(9,N19:N20)</f>
        <v>10250</v>
      </c>
      <c r="O18" s="17">
        <f>SUBTOTAL(9,O19:O21)</f>
        <v>11625</v>
      </c>
      <c r="P18" s="17">
        <f t="shared" ref="P18:U18" si="4">SUBTOTAL(9,P19:P20)</f>
        <v>0</v>
      </c>
      <c r="Q18" s="17">
        <f t="shared" si="4"/>
        <v>0</v>
      </c>
      <c r="R18" s="17">
        <f t="shared" si="4"/>
        <v>0</v>
      </c>
      <c r="S18" s="17">
        <f t="shared" si="4"/>
        <v>0</v>
      </c>
      <c r="T18" s="17">
        <f t="shared" si="4"/>
        <v>0</v>
      </c>
      <c r="U18" s="17">
        <f t="shared" si="4"/>
        <v>0</v>
      </c>
      <c r="V18" s="14"/>
      <c r="X18" s="6"/>
      <c r="Y18" s="6"/>
    </row>
    <row r="19" spans="1:25" hidden="1" outlineLevel="2" x14ac:dyDescent="0.3">
      <c r="A19" s="199" t="s">
        <v>34</v>
      </c>
      <c r="B19" s="150" t="e">
        <f>ROW(#REF!)</f>
        <v>#REF!</v>
      </c>
      <c r="C19" s="3">
        <v>4203</v>
      </c>
      <c r="D19" s="3">
        <v>1</v>
      </c>
      <c r="E19" s="3"/>
      <c r="F19" s="276"/>
      <c r="G19" s="3" t="s">
        <v>35</v>
      </c>
      <c r="H19" s="12" t="s">
        <v>36</v>
      </c>
      <c r="I19" s="1210">
        <v>2000</v>
      </c>
      <c r="J19" s="1210">
        <v>500</v>
      </c>
      <c r="K19" s="1210">
        <f>VLOOKUP(Tabelle1[[#This Row],[Titel]],[2]Haushalt!$A:$S,19,FALSE)</f>
        <v>432.24</v>
      </c>
      <c r="L19" s="18">
        <f>Referatspläne!N4</f>
        <v>2500</v>
      </c>
      <c r="M19" s="948">
        <f>VLOOKUP(Tabelle1[[#This Row],[Titel]],[3]Haushalt!$A$8:$W$282,8,FALSE)</f>
        <v>160</v>
      </c>
      <c r="N19" s="18">
        <v>5200</v>
      </c>
      <c r="O19" s="18">
        <v>500</v>
      </c>
      <c r="P19" s="18">
        <v>0</v>
      </c>
      <c r="Q19" s="18"/>
      <c r="R19" s="18"/>
      <c r="S19" s="18">
        <f>HHJ_2022_2023!H18*0.2</f>
        <v>0</v>
      </c>
      <c r="T19" s="18">
        <f>HHJ_2022_2023!J18*0.2</f>
        <v>0</v>
      </c>
      <c r="U19" s="18">
        <f>HHJ_2022_2023!L18*0.2</f>
        <v>0</v>
      </c>
      <c r="V19" s="14"/>
      <c r="Y19" s="6"/>
    </row>
    <row r="20" spans="1:25" hidden="1" outlineLevel="2" x14ac:dyDescent="0.3">
      <c r="A20" s="199" t="s">
        <v>37</v>
      </c>
      <c r="B20" s="150" t="e">
        <f>ROW(#REF!)</f>
        <v>#REF!</v>
      </c>
      <c r="C20" s="3">
        <v>4205</v>
      </c>
      <c r="D20" s="3">
        <v>1</v>
      </c>
      <c r="E20" s="3"/>
      <c r="F20" s="276"/>
      <c r="G20" s="3" t="s">
        <v>38</v>
      </c>
      <c r="H20" s="12" t="s">
        <v>39</v>
      </c>
      <c r="I20" s="1210">
        <v>2000</v>
      </c>
      <c r="J20" s="1210">
        <v>2000</v>
      </c>
      <c r="K20" s="1210">
        <f>VLOOKUP(Tabelle1[[#This Row],[Titel]],[2]Haushalt!$A:$S,19,FALSE)</f>
        <v>1728.96</v>
      </c>
      <c r="L20" s="18">
        <f>Referatspläne!O4</f>
        <v>450</v>
      </c>
      <c r="M20" s="948">
        <f>VLOOKUP(Tabelle1[[#This Row],[Titel]],[3]Haushalt!$A$8:$W$282,8,FALSE)</f>
        <v>640</v>
      </c>
      <c r="N20" s="18">
        <v>5050</v>
      </c>
      <c r="O20" s="18">
        <v>11125</v>
      </c>
      <c r="P20" s="18">
        <v>0</v>
      </c>
      <c r="Q20" s="18"/>
      <c r="R20" s="18"/>
      <c r="S20" s="18">
        <f>(HHJ_2022_2023!H18*0.8)+(HHJ_2022_2023!H19*0.25)+(HHJ_2022_2023!H20*0.55)</f>
        <v>0</v>
      </c>
      <c r="T20" s="18">
        <f>(HHJ_2022_2023!J18*0.8)+(HHJ_2022_2023!J19*0.25)+(HHJ_2022_2023!J20*0.55)</f>
        <v>0</v>
      </c>
      <c r="U20" s="18">
        <f>(HHJ_2022_2023!L18*0.8)+(HHJ_2022_2023!L19*0.25)+(HHJ_2022_2023!L20*0.55)</f>
        <v>0</v>
      </c>
      <c r="V20" s="14"/>
      <c r="X20" s="6"/>
      <c r="Y20" s="6"/>
    </row>
    <row r="21" spans="1:25" hidden="1" outlineLevel="2" x14ac:dyDescent="0.3">
      <c r="A21" s="199" t="s">
        <v>40</v>
      </c>
      <c r="B21" s="150" t="e">
        <f>ROW(#REF!)</f>
        <v>#REF!</v>
      </c>
      <c r="C21" s="3">
        <v>4205</v>
      </c>
      <c r="D21" s="3">
        <v>1</v>
      </c>
      <c r="E21" s="3"/>
      <c r="F21" s="276"/>
      <c r="G21" s="3" t="s">
        <v>41</v>
      </c>
      <c r="H21" s="3" t="s">
        <v>42</v>
      </c>
      <c r="I21" s="1210">
        <v>0</v>
      </c>
      <c r="J21" s="1210">
        <v>0</v>
      </c>
      <c r="K21" s="1210">
        <f>VLOOKUP(Tabelle1[[#This Row],[Titel]],[2]Haushalt!$A:$S,19,FALSE)</f>
        <v>0</v>
      </c>
      <c r="L21" s="3">
        <v>0</v>
      </c>
      <c r="M21" s="947">
        <f>VLOOKUP(Tabelle1[[#This Row],[Titel]],[3]Haushalt!$A$8:$W$282,8,FALSE)</f>
        <v>0</v>
      </c>
      <c r="N21" s="18">
        <v>0</v>
      </c>
      <c r="O21" s="18">
        <v>0</v>
      </c>
      <c r="P21" s="18">
        <v>0</v>
      </c>
      <c r="Q21" s="18"/>
      <c r="R21" s="18"/>
      <c r="S21" s="18"/>
      <c r="T21" s="18"/>
      <c r="U21" s="18"/>
      <c r="V21" s="14"/>
      <c r="Y21" s="6"/>
    </row>
    <row r="22" spans="1:25" outlineLevel="1" collapsed="1" x14ac:dyDescent="0.3">
      <c r="B22" s="151">
        <f t="shared" si="0"/>
        <v>17</v>
      </c>
      <c r="C22"/>
      <c r="D22"/>
      <c r="E22"/>
      <c r="M22" s="33"/>
      <c r="Q22" s="14"/>
      <c r="R22" s="14"/>
      <c r="S22" s="14"/>
      <c r="T22" s="14"/>
      <c r="U22" s="14"/>
      <c r="V22" s="14"/>
      <c r="X22" s="6"/>
      <c r="Y22" s="6"/>
    </row>
    <row r="23" spans="1:25" outlineLevel="1" x14ac:dyDescent="0.3">
      <c r="A23" s="198" t="s">
        <v>43</v>
      </c>
      <c r="B23" s="149">
        <f t="shared" si="0"/>
        <v>18</v>
      </c>
      <c r="C23" s="4"/>
      <c r="D23" s="4"/>
      <c r="E23" s="4"/>
      <c r="F23" s="1225"/>
      <c r="G23" s="4"/>
      <c r="H23" s="4" t="s">
        <v>44</v>
      </c>
      <c r="I23" s="17">
        <f>SUBTOTAL(9,I24:I25)</f>
        <v>500</v>
      </c>
      <c r="J23" s="17">
        <f>SUBTOTAL(9,J24:J25)</f>
        <v>0</v>
      </c>
      <c r="K23" s="17">
        <f>VLOOKUP(Tabelle1[[#This Row],[Titel]],[2]Haushalt!$A:$S,19,FALSE)</f>
        <v>0</v>
      </c>
      <c r="L23" s="17">
        <f>SUBTOTAL(9,L24:L25)</f>
        <v>0</v>
      </c>
      <c r="M23" s="946">
        <f>VLOOKUP(Tabelle1[[#This Row],[Titel]],[3]Haushalt!$A$8:$W$282,8,FALSE)</f>
        <v>0</v>
      </c>
      <c r="N23" s="17">
        <f t="shared" ref="N23:U23" si="5">SUBTOTAL(9,N24:N25)</f>
        <v>0</v>
      </c>
      <c r="O23" s="17">
        <f t="shared" si="5"/>
        <v>0</v>
      </c>
      <c r="P23" s="17">
        <f t="shared" si="5"/>
        <v>0</v>
      </c>
      <c r="Q23" s="17">
        <f t="shared" si="5"/>
        <v>0</v>
      </c>
      <c r="R23" s="17">
        <f t="shared" si="5"/>
        <v>0</v>
      </c>
      <c r="S23" s="17">
        <f t="shared" si="5"/>
        <v>0</v>
      </c>
      <c r="T23" s="17">
        <f t="shared" si="5"/>
        <v>0</v>
      </c>
      <c r="U23" s="17">
        <f t="shared" si="5"/>
        <v>0</v>
      </c>
      <c r="V23" s="14"/>
      <c r="Y23" s="6"/>
    </row>
    <row r="24" spans="1:25" hidden="1" outlineLevel="2" x14ac:dyDescent="0.3">
      <c r="A24" s="199" t="s">
        <v>45</v>
      </c>
      <c r="B24" s="150">
        <f t="shared" si="0"/>
        <v>19</v>
      </c>
      <c r="C24" s="3">
        <v>4090</v>
      </c>
      <c r="D24" s="3">
        <v>3</v>
      </c>
      <c r="E24" s="3"/>
      <c r="F24" s="276"/>
      <c r="G24" s="3" t="s">
        <v>41</v>
      </c>
      <c r="H24" s="12" t="s">
        <v>46</v>
      </c>
      <c r="I24" s="1210">
        <v>500</v>
      </c>
      <c r="J24" s="1211">
        <v>0</v>
      </c>
      <c r="K24" s="1211">
        <f>VLOOKUP(Tabelle1[[#This Row],[Titel]],[2]Haushalt!$A:$S,19,FALSE)</f>
        <v>0</v>
      </c>
      <c r="L24" s="1069">
        <v>0</v>
      </c>
      <c r="M24" s="948">
        <f>VLOOKUP(Tabelle1[[#This Row],[Titel]],[3]Haushalt!$A$8:$W$282,8,FALSE)</f>
        <v>0</v>
      </c>
      <c r="N24" s="18">
        <f>Referatspläne!P4</f>
        <v>0</v>
      </c>
      <c r="O24" s="18">
        <f>Referatspläne!P2</f>
        <v>0</v>
      </c>
      <c r="P24" s="18">
        <v>0</v>
      </c>
      <c r="Q24" s="18"/>
      <c r="R24" s="18"/>
      <c r="S24" s="18"/>
      <c r="T24" s="18"/>
      <c r="U24" s="18"/>
      <c r="V24" s="14"/>
      <c r="X24" s="6"/>
      <c r="Y24" s="6"/>
    </row>
    <row r="25" spans="1:25" hidden="1" outlineLevel="2" x14ac:dyDescent="0.3">
      <c r="A25" s="199" t="s">
        <v>47</v>
      </c>
      <c r="B25" s="150">
        <f t="shared" si="0"/>
        <v>20</v>
      </c>
      <c r="C25" s="3">
        <v>4090</v>
      </c>
      <c r="D25" s="3">
        <v>3</v>
      </c>
      <c r="E25" s="3"/>
      <c r="F25" s="276"/>
      <c r="G25" s="3" t="s">
        <v>41</v>
      </c>
      <c r="H25" s="3" t="s">
        <v>48</v>
      </c>
      <c r="I25" s="18">
        <v>0</v>
      </c>
      <c r="J25" s="18">
        <v>0</v>
      </c>
      <c r="K25" s="18">
        <f>VLOOKUP(Tabelle1[[#This Row],[Titel]],[2]Haushalt!$A:$S,19,FALSE)</f>
        <v>0</v>
      </c>
      <c r="L25" s="1068">
        <v>0</v>
      </c>
      <c r="M25" s="947">
        <f>VLOOKUP(Tabelle1[[#This Row],[Titel]],[3]Haushalt!$A$8:$W$282,8,FALSE)</f>
        <v>0</v>
      </c>
      <c r="N25" s="18">
        <v>0</v>
      </c>
      <c r="O25" s="18">
        <v>0</v>
      </c>
      <c r="P25" s="18">
        <v>0</v>
      </c>
      <c r="Q25" s="18"/>
      <c r="R25" s="18"/>
      <c r="S25" s="18"/>
      <c r="T25" s="18"/>
      <c r="U25" s="18"/>
      <c r="V25" s="14"/>
      <c r="Y25" s="6"/>
    </row>
    <row r="26" spans="1:25" outlineLevel="1" collapsed="1" x14ac:dyDescent="0.3">
      <c r="B26" s="151">
        <f t="shared" si="0"/>
        <v>21</v>
      </c>
      <c r="C26"/>
      <c r="D26"/>
      <c r="E26"/>
      <c r="M26" s="33"/>
      <c r="Q26" s="14"/>
      <c r="R26" s="14"/>
      <c r="S26" s="14"/>
      <c r="T26" s="14"/>
      <c r="U26" s="14"/>
      <c r="V26" s="14"/>
      <c r="X26" s="6"/>
      <c r="Y26" s="6"/>
    </row>
    <row r="27" spans="1:25" outlineLevel="1" x14ac:dyDescent="0.3">
      <c r="A27" s="198" t="s">
        <v>49</v>
      </c>
      <c r="B27" s="149">
        <f t="shared" si="0"/>
        <v>22</v>
      </c>
      <c r="C27" s="4"/>
      <c r="D27" s="4"/>
      <c r="E27" s="4"/>
      <c r="F27" s="1225"/>
      <c r="G27" s="4"/>
      <c r="H27" s="4" t="s">
        <v>50</v>
      </c>
      <c r="I27" s="17">
        <f>SUBTOTAL(9,I28:I30)</f>
        <v>6000</v>
      </c>
      <c r="J27" s="17">
        <f>SUBTOTAL(9,J28:J30)</f>
        <v>5000</v>
      </c>
      <c r="K27" s="17">
        <f>VLOOKUP(Tabelle1[[#This Row],[Titel]],[2]Haushalt!$A:$S,19,FALSE)</f>
        <v>0</v>
      </c>
      <c r="L27" s="17">
        <f>SUBTOTAL(9,L28:L30)</f>
        <v>9176.25</v>
      </c>
      <c r="M27" s="946">
        <f>VLOOKUP(Tabelle1[[#This Row],[Titel]],[3]Haushalt!$A$8:$W$282,8,FALSE)</f>
        <v>0</v>
      </c>
      <c r="N27" s="17">
        <f t="shared" ref="N27:U27" si="6">SUBTOTAL(9,N28:N30)</f>
        <v>17100</v>
      </c>
      <c r="O27" s="17">
        <f t="shared" si="6"/>
        <v>15375</v>
      </c>
      <c r="P27" s="17">
        <f t="shared" si="6"/>
        <v>0</v>
      </c>
      <c r="Q27" s="17">
        <f t="shared" si="6"/>
        <v>0</v>
      </c>
      <c r="R27" s="17">
        <f t="shared" si="6"/>
        <v>0</v>
      </c>
      <c r="S27" s="17">
        <f t="shared" si="6"/>
        <v>0</v>
      </c>
      <c r="T27" s="17">
        <f t="shared" si="6"/>
        <v>0</v>
      </c>
      <c r="U27" s="17">
        <f t="shared" si="6"/>
        <v>0</v>
      </c>
      <c r="V27" s="14"/>
      <c r="Y27" s="6"/>
    </row>
    <row r="28" spans="1:25" hidden="1" outlineLevel="2" x14ac:dyDescent="0.3">
      <c r="A28" s="199" t="s">
        <v>51</v>
      </c>
      <c r="B28" s="150">
        <f t="shared" si="0"/>
        <v>23</v>
      </c>
      <c r="C28" s="3">
        <v>4045</v>
      </c>
      <c r="D28" s="3">
        <v>1</v>
      </c>
      <c r="E28" s="3"/>
      <c r="F28" s="276" t="s">
        <v>1471</v>
      </c>
      <c r="G28" s="3" t="s">
        <v>52</v>
      </c>
      <c r="H28" s="1251" t="s">
        <v>53</v>
      </c>
      <c r="I28" s="1211">
        <v>5000</v>
      </c>
      <c r="J28" s="1210">
        <v>5000</v>
      </c>
      <c r="K28" s="1211">
        <f>VLOOKUP(Tabelle1[[#This Row],[Titel]],[2]Haushalt!$A:$S,19,FALSE)</f>
        <v>0</v>
      </c>
      <c r="L28" s="18">
        <f>Referatspläne!Q4</f>
        <v>9176.25</v>
      </c>
      <c r="M28" s="948">
        <f>VLOOKUP(Tabelle1[[#This Row],[Titel]],[3]Haushalt!$A$8:$W$282,8,FALSE)</f>
        <v>0</v>
      </c>
      <c r="N28" s="1078">
        <v>10800</v>
      </c>
      <c r="O28" s="18">
        <v>10875</v>
      </c>
      <c r="P28" s="18">
        <v>0</v>
      </c>
      <c r="Q28" s="18"/>
      <c r="R28" s="18"/>
      <c r="S28" s="18">
        <f>HHJ_2022_2023!H19*0.75</f>
        <v>0</v>
      </c>
      <c r="T28" s="18">
        <f>HHJ_2022_2023!J19*0.75</f>
        <v>0</v>
      </c>
      <c r="U28" s="18">
        <f>HHJ_2022_2023!L19*0.75</f>
        <v>0</v>
      </c>
      <c r="V28" s="14"/>
      <c r="X28" s="6"/>
      <c r="Y28" s="6"/>
    </row>
    <row r="29" spans="1:25" hidden="1" outlineLevel="2" x14ac:dyDescent="0.3">
      <c r="A29" s="199" t="s">
        <v>54</v>
      </c>
      <c r="B29" s="150">
        <f t="shared" si="0"/>
        <v>24</v>
      </c>
      <c r="C29" s="3">
        <v>4050</v>
      </c>
      <c r="D29" s="3">
        <v>1</v>
      </c>
      <c r="E29" s="3"/>
      <c r="F29" s="276" t="s">
        <v>1472</v>
      </c>
      <c r="G29" s="3" t="s">
        <v>55</v>
      </c>
      <c r="H29" s="1251" t="s">
        <v>56</v>
      </c>
      <c r="I29" s="1211">
        <v>1000</v>
      </c>
      <c r="J29" s="1211">
        <v>0</v>
      </c>
      <c r="K29" s="1211">
        <f>VLOOKUP(Tabelle1[[#This Row],[Titel]],[2]Haushalt!$A:$S,19,FALSE)</f>
        <v>0</v>
      </c>
      <c r="L29" s="1069">
        <v>0</v>
      </c>
      <c r="M29" s="948">
        <f>VLOOKUP(Tabelle1[[#This Row],[Titel]],[3]Haushalt!$A$8:$W$282,8,FALSE)</f>
        <v>0</v>
      </c>
      <c r="N29" s="18">
        <v>4800</v>
      </c>
      <c r="O29" s="18">
        <v>4500</v>
      </c>
      <c r="P29" s="18">
        <v>0</v>
      </c>
      <c r="Q29" s="18"/>
      <c r="R29" s="18"/>
      <c r="S29" s="18">
        <f>HHJ_2022_2023!H20*0.45</f>
        <v>0</v>
      </c>
      <c r="T29" s="18">
        <f>HHJ_2022_2023!J20*0.45</f>
        <v>0</v>
      </c>
      <c r="U29" s="18">
        <f>HHJ_2022_2023!L20*0.45</f>
        <v>0</v>
      </c>
      <c r="V29" s="14"/>
      <c r="Y29" s="6"/>
    </row>
    <row r="30" spans="1:25" hidden="1" outlineLevel="2" x14ac:dyDescent="0.3">
      <c r="A30" s="199" t="s">
        <v>57</v>
      </c>
      <c r="B30" s="150">
        <f t="shared" si="0"/>
        <v>25</v>
      </c>
      <c r="C30" s="3"/>
      <c r="D30" s="3"/>
      <c r="E30" s="3"/>
      <c r="F30" s="276" t="s">
        <v>1473</v>
      </c>
      <c r="G30" s="3" t="s">
        <v>41</v>
      </c>
      <c r="H30" s="1251" t="s">
        <v>58</v>
      </c>
      <c r="I30" s="1211">
        <v>0</v>
      </c>
      <c r="J30" s="1211">
        <v>0</v>
      </c>
      <c r="K30" s="1211">
        <f>VLOOKUP(Tabelle1[[#This Row],[Titel]],[2]Haushalt!$A:$S,19,FALSE)</f>
        <v>0</v>
      </c>
      <c r="L30" s="1069">
        <v>0</v>
      </c>
      <c r="M30" s="948">
        <f>VLOOKUP(Tabelle1[[#This Row],[Titel]],[3]Haushalt!$A$8:$W$282,8,FALSE)</f>
        <v>0</v>
      </c>
      <c r="N30" s="18">
        <v>1500</v>
      </c>
      <c r="O30" s="18">
        <v>0</v>
      </c>
      <c r="P30" s="18">
        <v>0</v>
      </c>
      <c r="Q30" s="18"/>
      <c r="R30" s="18"/>
      <c r="S30" s="18"/>
      <c r="T30" s="18"/>
      <c r="U30" s="18"/>
      <c r="V30" s="14"/>
      <c r="X30" s="6"/>
      <c r="Y30" s="6"/>
    </row>
    <row r="31" spans="1:25" outlineLevel="1" collapsed="1" x14ac:dyDescent="0.3">
      <c r="B31" s="151">
        <f t="shared" si="0"/>
        <v>26</v>
      </c>
      <c r="C31"/>
      <c r="D31"/>
      <c r="E31"/>
      <c r="M31" s="33"/>
      <c r="Q31" s="14"/>
      <c r="R31" s="14"/>
      <c r="S31" s="14"/>
      <c r="T31" s="14"/>
      <c r="U31" s="14"/>
      <c r="V31" s="14"/>
      <c r="Y31" s="6"/>
    </row>
    <row r="32" spans="1:25" outlineLevel="1" x14ac:dyDescent="0.3">
      <c r="A32" s="198" t="s">
        <v>59</v>
      </c>
      <c r="B32" s="149">
        <f t="shared" si="0"/>
        <v>27</v>
      </c>
      <c r="C32" s="4"/>
      <c r="D32" s="4"/>
      <c r="E32" s="4"/>
      <c r="F32" s="1225"/>
      <c r="G32" s="4"/>
      <c r="H32" s="4" t="s">
        <v>60</v>
      </c>
      <c r="I32" s="17">
        <f>SUBTOTAL(9,I33:I34)</f>
        <v>4000</v>
      </c>
      <c r="J32" s="17">
        <f>SUBTOTAL(9,J33:J34)</f>
        <v>3000</v>
      </c>
      <c r="K32" s="17">
        <f>VLOOKUP(Tabelle1[[#This Row],[Titel]],[2]Haushalt!$A:$S,19,FALSE)</f>
        <v>2428</v>
      </c>
      <c r="L32" s="17">
        <f>SUBTOTAL(9,L33:L34)</f>
        <v>5000</v>
      </c>
      <c r="M32" s="946">
        <f>VLOOKUP(Tabelle1[[#This Row],[Titel]],[3]Haushalt!$A$8:$W$282,8,FALSE)</f>
        <v>5262</v>
      </c>
      <c r="N32" s="17">
        <f t="shared" ref="N32:U32" si="7">SUBTOTAL(9,N33:N34)</f>
        <v>3600</v>
      </c>
      <c r="O32" s="17">
        <f t="shared" si="7"/>
        <v>7000</v>
      </c>
      <c r="P32" s="17">
        <f t="shared" si="7"/>
        <v>6229.55</v>
      </c>
      <c r="Q32" s="17">
        <f t="shared" si="7"/>
        <v>0</v>
      </c>
      <c r="R32" s="17">
        <f t="shared" si="7"/>
        <v>0</v>
      </c>
      <c r="S32" s="17">
        <f t="shared" si="7"/>
        <v>130</v>
      </c>
      <c r="T32" s="17">
        <f t="shared" si="7"/>
        <v>650</v>
      </c>
      <c r="U32" s="17">
        <f t="shared" si="7"/>
        <v>960</v>
      </c>
      <c r="V32" s="14"/>
      <c r="X32" s="6"/>
      <c r="Y32" s="6"/>
    </row>
    <row r="33" spans="1:25" outlineLevel="3" x14ac:dyDescent="0.3">
      <c r="A33" s="199" t="s">
        <v>61</v>
      </c>
      <c r="B33" s="150">
        <f t="shared" si="0"/>
        <v>28</v>
      </c>
      <c r="C33" s="3"/>
      <c r="D33" s="3">
        <v>2</v>
      </c>
      <c r="E33" s="3"/>
      <c r="F33" s="276"/>
      <c r="G33" s="3" t="s">
        <v>59</v>
      </c>
      <c r="H33" s="3" t="s">
        <v>62</v>
      </c>
      <c r="I33" s="18">
        <v>4000</v>
      </c>
      <c r="J33" s="18">
        <v>3000</v>
      </c>
      <c r="K33" s="18">
        <f>VLOOKUP(Tabelle1[[#This Row],[Titel]],[2]Haushalt!$A:$S,19,FALSE)</f>
        <v>2428</v>
      </c>
      <c r="L33" s="18">
        <v>5000</v>
      </c>
      <c r="M33" s="947">
        <f>VLOOKUP(Tabelle1[[#This Row],[Titel]],[3]Haushalt!$A$8:$W$282,8,FALSE)</f>
        <v>5262</v>
      </c>
      <c r="N33" s="18">
        <v>3600</v>
      </c>
      <c r="O33" s="18">
        <v>7000</v>
      </c>
      <c r="P33" s="18">
        <v>6229.55</v>
      </c>
      <c r="Q33" s="18"/>
      <c r="R33" s="18"/>
      <c r="S33" s="18">
        <f>HHJ_2022_2023!H22</f>
        <v>130</v>
      </c>
      <c r="T33" s="18">
        <f>HHJ_2022_2023!J22</f>
        <v>650</v>
      </c>
      <c r="U33" s="18">
        <f>HHJ_2022_2023!L22</f>
        <v>960</v>
      </c>
      <c r="V33" s="14"/>
      <c r="Y33" s="6"/>
    </row>
    <row r="34" spans="1:25" outlineLevel="3" x14ac:dyDescent="0.3">
      <c r="A34" s="199" t="s">
        <v>63</v>
      </c>
      <c r="B34" s="150">
        <f t="shared" si="0"/>
        <v>29</v>
      </c>
      <c r="C34" s="3"/>
      <c r="D34" s="3">
        <v>2</v>
      </c>
      <c r="E34" s="3"/>
      <c r="F34" s="276"/>
      <c r="G34" s="3" t="s">
        <v>41</v>
      </c>
      <c r="H34" s="3" t="s">
        <v>64</v>
      </c>
      <c r="I34" s="18">
        <v>0</v>
      </c>
      <c r="J34" s="18">
        <v>0</v>
      </c>
      <c r="K34" s="18">
        <f>VLOOKUP(Tabelle1[[#This Row],[Titel]],[2]Haushalt!$A:$S,19,FALSE)</f>
        <v>0</v>
      </c>
      <c r="L34" s="18">
        <v>0</v>
      </c>
      <c r="M34" s="947">
        <f>VLOOKUP(Tabelle1[[#This Row],[Titel]],[3]Haushalt!$A$8:$W$282,8,FALSE)</f>
        <v>0</v>
      </c>
      <c r="N34" s="18">
        <v>0</v>
      </c>
      <c r="O34" s="18">
        <v>0</v>
      </c>
      <c r="P34" s="18">
        <v>0</v>
      </c>
      <c r="Q34" s="18"/>
      <c r="R34" s="18"/>
      <c r="S34" s="18"/>
      <c r="T34" s="18"/>
      <c r="U34" s="18"/>
      <c r="V34" s="14"/>
      <c r="W34" t="s">
        <v>1217</v>
      </c>
      <c r="X34" s="6"/>
      <c r="Y34" s="6"/>
    </row>
    <row r="35" spans="1:25" x14ac:dyDescent="0.3">
      <c r="B35" s="151">
        <f t="shared" si="0"/>
        <v>30</v>
      </c>
      <c r="C35"/>
      <c r="D35"/>
      <c r="E35"/>
      <c r="M35" s="33"/>
      <c r="Q35" s="14"/>
      <c r="R35" s="14"/>
      <c r="S35" s="14"/>
      <c r="T35" s="14"/>
      <c r="U35" s="14"/>
      <c r="V35" s="14"/>
      <c r="Y35" s="6"/>
    </row>
    <row r="36" spans="1:25" x14ac:dyDescent="0.3">
      <c r="A36" s="157" t="s">
        <v>65</v>
      </c>
      <c r="B36" s="148">
        <f t="shared" si="0"/>
        <v>31</v>
      </c>
      <c r="C36" s="2"/>
      <c r="D36" s="2"/>
      <c r="E36" s="2"/>
      <c r="F36" s="1224"/>
      <c r="G36" s="2"/>
      <c r="H36" s="2" t="s">
        <v>66</v>
      </c>
      <c r="I36" s="23">
        <f>I37+I44+I51</f>
        <v>95000</v>
      </c>
      <c r="J36" s="23">
        <f>J37+J44+J51</f>
        <v>83650</v>
      </c>
      <c r="K36" s="23">
        <f>VLOOKUP(Tabelle1[[#This Row],[Titel]],[2]Haushalt!$A:$S,19,FALSE)</f>
        <v>69212.649999999994</v>
      </c>
      <c r="L36" s="23">
        <f>L37+L44+L51</f>
        <v>118160</v>
      </c>
      <c r="M36" s="945">
        <f>VLOOKUP(Tabelle1[[#This Row],[Titel]],[3]Haushalt!$A$8:$W$282,8,FALSE)</f>
        <v>71915.37</v>
      </c>
      <c r="N36" s="23">
        <f t="shared" ref="N36:U36" si="8">N37+N44+N51</f>
        <v>146529.5</v>
      </c>
      <c r="O36" s="23">
        <f t="shared" si="8"/>
        <v>85000</v>
      </c>
      <c r="P36" s="23">
        <f t="shared" si="8"/>
        <v>89402</v>
      </c>
      <c r="Q36" s="23">
        <f t="shared" si="8"/>
        <v>0</v>
      </c>
      <c r="R36" s="23">
        <f t="shared" si="8"/>
        <v>0</v>
      </c>
      <c r="S36" s="23">
        <f t="shared" si="8"/>
        <v>-160</v>
      </c>
      <c r="T36" s="23">
        <f t="shared" si="8"/>
        <v>330</v>
      </c>
      <c r="U36" s="23">
        <f t="shared" si="8"/>
        <v>1285</v>
      </c>
      <c r="V36" s="14"/>
      <c r="X36" s="6"/>
      <c r="Y36" s="6"/>
    </row>
    <row r="37" spans="1:25" hidden="1" outlineLevel="1" x14ac:dyDescent="0.3">
      <c r="A37" s="198" t="s">
        <v>67</v>
      </c>
      <c r="B37" s="149">
        <f t="shared" si="0"/>
        <v>32</v>
      </c>
      <c r="C37" s="4"/>
      <c r="D37" s="4"/>
      <c r="E37" s="4"/>
      <c r="F37" s="1225"/>
      <c r="G37" s="4"/>
      <c r="H37" s="4" t="s">
        <v>68</v>
      </c>
      <c r="I37" s="17">
        <f>SUBTOTAL(9,I38:I42)</f>
        <v>95000</v>
      </c>
      <c r="J37" s="17">
        <f>SUBTOTAL(9,J38:J42)</f>
        <v>83650</v>
      </c>
      <c r="K37" s="17">
        <f>VLOOKUP(Tabelle1[[#This Row],[Titel]],[2]Haushalt!$A:$S,19,FALSE)</f>
        <v>69212.649999999994</v>
      </c>
      <c r="L37" s="17">
        <f>SUBTOTAL(9,L38:L42)</f>
        <v>117660</v>
      </c>
      <c r="M37" s="946">
        <f>VLOOKUP(Tabelle1[[#This Row],[Titel]],[3]Haushalt!$A$8:$W$282,8,FALSE)</f>
        <v>71915.37</v>
      </c>
      <c r="N37" s="17">
        <f t="shared" ref="N37:U37" si="9">SUBTOTAL(9,N38:N42)</f>
        <v>145329.5</v>
      </c>
      <c r="O37" s="17">
        <f t="shared" si="9"/>
        <v>85000</v>
      </c>
      <c r="P37" s="17">
        <f t="shared" si="9"/>
        <v>89402</v>
      </c>
      <c r="Q37" s="17">
        <f t="shared" si="9"/>
        <v>0</v>
      </c>
      <c r="R37" s="17">
        <f t="shared" si="9"/>
        <v>0</v>
      </c>
      <c r="S37" s="17">
        <f t="shared" si="9"/>
        <v>-160</v>
      </c>
      <c r="T37" s="17">
        <f t="shared" si="9"/>
        <v>330</v>
      </c>
      <c r="U37" s="17">
        <f t="shared" si="9"/>
        <v>1285</v>
      </c>
      <c r="V37" s="14"/>
      <c r="Y37" s="6"/>
    </row>
    <row r="38" spans="1:25" hidden="1" outlineLevel="2" x14ac:dyDescent="0.3">
      <c r="A38" s="199" t="s">
        <v>69</v>
      </c>
      <c r="B38" s="150">
        <f t="shared" si="0"/>
        <v>33</v>
      </c>
      <c r="C38" s="3">
        <v>4203</v>
      </c>
      <c r="D38" s="3">
        <v>1</v>
      </c>
      <c r="E38" s="3"/>
      <c r="F38" s="276"/>
      <c r="G38" s="3" t="s">
        <v>34</v>
      </c>
      <c r="H38" s="12" t="s">
        <v>70</v>
      </c>
      <c r="I38" s="1210">
        <v>48000</v>
      </c>
      <c r="J38" s="1210">
        <v>46150</v>
      </c>
      <c r="K38" s="18">
        <f>VLOOKUP(Tabelle1[[#This Row],[Titel]],[2]Haushalt!$A:$S,19,FALSE)</f>
        <v>37662.65</v>
      </c>
      <c r="L38" s="18">
        <f>'WiWi neu'!I5</f>
        <v>46150</v>
      </c>
      <c r="M38" s="948">
        <f>VLOOKUP(Tabelle1[[#This Row],[Titel]],[3]Haushalt!$A$8:$W$282,8,FALSE)</f>
        <v>37655.370000000003</v>
      </c>
      <c r="N38" s="18">
        <v>56381</v>
      </c>
      <c r="O38" s="18">
        <f>[4]WiWi!G5</f>
        <v>23000</v>
      </c>
      <c r="P38" s="18">
        <f>WiWi!L8</f>
        <v>37605</v>
      </c>
      <c r="Q38" s="18"/>
      <c r="R38" s="18"/>
      <c r="S38" s="18">
        <f>HHJ_2022_2023!H12</f>
        <v>90</v>
      </c>
      <c r="T38" s="18">
        <f>HHJ_2022_2023!J12</f>
        <v>135</v>
      </c>
      <c r="U38" s="18">
        <f>HHJ_2022_2023!L12</f>
        <v>135</v>
      </c>
      <c r="V38" s="14"/>
      <c r="X38" s="6"/>
      <c r="Y38" s="6"/>
    </row>
    <row r="39" spans="1:25" hidden="1" outlineLevel="2" x14ac:dyDescent="0.3">
      <c r="A39" s="199" t="s">
        <v>71</v>
      </c>
      <c r="B39" s="150">
        <f t="shared" si="0"/>
        <v>34</v>
      </c>
      <c r="C39" s="3">
        <v>4203</v>
      </c>
      <c r="D39" s="3">
        <v>1</v>
      </c>
      <c r="E39" s="3"/>
      <c r="F39" s="276"/>
      <c r="G39" s="3" t="s">
        <v>37</v>
      </c>
      <c r="H39" s="12" t="s">
        <v>72</v>
      </c>
      <c r="I39" s="1210">
        <v>4500</v>
      </c>
      <c r="J39" s="1210">
        <v>3500</v>
      </c>
      <c r="K39" s="1211">
        <f>VLOOKUP(Tabelle1[[#This Row],[Titel]],[2]Haushalt!$A:$S,19,FALSE)</f>
        <v>2595</v>
      </c>
      <c r="L39" s="18">
        <f>KSW!E5</f>
        <v>8510</v>
      </c>
      <c r="M39" s="948">
        <f>VLOOKUP(Tabelle1[[#This Row],[Titel]],[3]Haushalt!$A$8:$W$282,8,FALSE)</f>
        <v>2690</v>
      </c>
      <c r="N39" s="18">
        <v>10576</v>
      </c>
      <c r="O39" s="18">
        <f>KSW!I5</f>
        <v>1500</v>
      </c>
      <c r="P39" s="18">
        <f>KSW!J8</f>
        <v>318</v>
      </c>
      <c r="Q39" s="18"/>
      <c r="R39" s="18"/>
      <c r="S39" s="18">
        <f>HHJ_2022_2023!H13</f>
        <v>0</v>
      </c>
      <c r="T39" s="18">
        <f>HHJ_2022_2023!J13</f>
        <v>475</v>
      </c>
      <c r="U39" s="18">
        <f>HHJ_2022_2023!L13</f>
        <v>490</v>
      </c>
      <c r="V39" s="14"/>
      <c r="Y39" s="6"/>
    </row>
    <row r="40" spans="1:25" hidden="1" outlineLevel="2" x14ac:dyDescent="0.3">
      <c r="A40" s="199" t="s">
        <v>73</v>
      </c>
      <c r="B40" s="150">
        <f t="shared" si="0"/>
        <v>35</v>
      </c>
      <c r="C40" s="3">
        <v>4203</v>
      </c>
      <c r="D40" s="3">
        <v>1</v>
      </c>
      <c r="E40" s="3"/>
      <c r="F40" s="276"/>
      <c r="G40" s="3" t="s">
        <v>74</v>
      </c>
      <c r="H40" s="12" t="s">
        <v>75</v>
      </c>
      <c r="I40" s="1210">
        <v>4500</v>
      </c>
      <c r="J40" s="1210">
        <v>0</v>
      </c>
      <c r="K40" s="1211">
        <f>VLOOKUP(Tabelle1[[#This Row],[Titel]],[2]Haushalt!$A:$S,19,FALSE)</f>
        <v>0</v>
      </c>
      <c r="L40" s="18">
        <f>PSY!E5</f>
        <v>24000</v>
      </c>
      <c r="M40" s="948">
        <f>VLOOKUP(Tabelle1[[#This Row],[Titel]],[3]Haushalt!$A$8:$W$282,8,FALSE)</f>
        <v>0</v>
      </c>
      <c r="N40" s="18">
        <v>29222</v>
      </c>
      <c r="O40" s="18">
        <f>PSY!I5</f>
        <v>24000</v>
      </c>
      <c r="P40" s="18">
        <f>PSY!J8</f>
        <v>23964</v>
      </c>
      <c r="Q40" s="18"/>
      <c r="R40" s="18"/>
      <c r="S40" s="18">
        <f>HHJ_2022_2023!H17</f>
        <v>0</v>
      </c>
      <c r="T40" s="18">
        <f>HHJ_2022_2023!J17</f>
        <v>0</v>
      </c>
      <c r="U40" s="18">
        <f>HHJ_2022_2023!L17</f>
        <v>0</v>
      </c>
      <c r="V40" s="14"/>
      <c r="X40" s="6"/>
      <c r="Y40" s="6"/>
    </row>
    <row r="41" spans="1:25" hidden="1" outlineLevel="2" x14ac:dyDescent="0.3">
      <c r="A41" s="199" t="s">
        <v>76</v>
      </c>
      <c r="B41" s="150">
        <f t="shared" si="0"/>
        <v>36</v>
      </c>
      <c r="C41" s="3">
        <v>4203</v>
      </c>
      <c r="D41" s="3">
        <v>1</v>
      </c>
      <c r="E41" s="3"/>
      <c r="F41" s="276"/>
      <c r="G41" s="3" t="s">
        <v>77</v>
      </c>
      <c r="H41" s="12" t="s">
        <v>78</v>
      </c>
      <c r="I41" s="1210">
        <v>25000</v>
      </c>
      <c r="J41" s="1210">
        <v>25000</v>
      </c>
      <c r="K41" s="1211">
        <f>VLOOKUP(Tabelle1[[#This Row],[Titel]],[2]Haushalt!$A:$S,19,FALSE)</f>
        <v>22060</v>
      </c>
      <c r="L41" s="18">
        <f>ReWi!E5</f>
        <v>23500</v>
      </c>
      <c r="M41" s="948">
        <f>VLOOKUP(Tabelle1[[#This Row],[Titel]],[3]Haushalt!$A$8:$W$282,8,FALSE)</f>
        <v>23885</v>
      </c>
      <c r="N41" s="18">
        <v>29578</v>
      </c>
      <c r="O41" s="18">
        <f>ReWi!I5</f>
        <v>32000</v>
      </c>
      <c r="P41" s="18">
        <f>ReWi!J8</f>
        <v>24965</v>
      </c>
      <c r="Q41" s="18"/>
      <c r="R41" s="18"/>
      <c r="S41" s="18">
        <f>HHJ_2022_2023!H15</f>
        <v>-340</v>
      </c>
      <c r="T41" s="18">
        <f>HHJ_2022_2023!J15</f>
        <v>-340</v>
      </c>
      <c r="U41" s="18">
        <f>HHJ_2022_2023!L15</f>
        <v>-340</v>
      </c>
      <c r="V41" s="14"/>
      <c r="Y41" s="6"/>
    </row>
    <row r="42" spans="1:25" hidden="1" outlineLevel="2" x14ac:dyDescent="0.3">
      <c r="A42" s="199" t="s">
        <v>79</v>
      </c>
      <c r="B42" s="150">
        <f t="shared" si="0"/>
        <v>37</v>
      </c>
      <c r="C42" s="3">
        <v>4203</v>
      </c>
      <c r="D42" s="3">
        <v>1</v>
      </c>
      <c r="E42" s="3"/>
      <c r="F42" s="276"/>
      <c r="G42" s="3" t="s">
        <v>40</v>
      </c>
      <c r="H42" s="12" t="s">
        <v>80</v>
      </c>
      <c r="I42" s="1210">
        <v>13000</v>
      </c>
      <c r="J42" s="1210">
        <v>9000</v>
      </c>
      <c r="K42" s="1211">
        <f>VLOOKUP(Tabelle1[[#This Row],[Titel]],[2]Haushalt!$A:$S,19,FALSE)</f>
        <v>6895</v>
      </c>
      <c r="L42" s="18">
        <f>M_I!G5</f>
        <v>15500</v>
      </c>
      <c r="M42" s="948">
        <f>VLOOKUP(Tabelle1[[#This Row],[Titel]],[3]Haushalt!$A$8:$W$282,8,FALSE)</f>
        <v>7685</v>
      </c>
      <c r="N42" s="18">
        <v>19572.5</v>
      </c>
      <c r="O42" s="18">
        <f>M_I!K5</f>
        <v>4500</v>
      </c>
      <c r="P42" s="18">
        <f>M_I!L8</f>
        <v>2550</v>
      </c>
      <c r="Q42" s="18"/>
      <c r="R42" s="18"/>
      <c r="S42" s="18">
        <f>HHJ_2022_2023!H14</f>
        <v>90</v>
      </c>
      <c r="T42" s="18">
        <f>HHJ_2022_2023!J14</f>
        <v>60</v>
      </c>
      <c r="U42" s="18">
        <f>HHJ_2022_2023!L14</f>
        <v>1000</v>
      </c>
      <c r="V42" s="14"/>
      <c r="X42" s="6"/>
      <c r="Y42" s="6"/>
    </row>
    <row r="43" spans="1:25" hidden="1" outlineLevel="1" collapsed="1" x14ac:dyDescent="0.3">
      <c r="B43" s="151">
        <f t="shared" si="0"/>
        <v>38</v>
      </c>
      <c r="C43"/>
      <c r="D43"/>
      <c r="E43"/>
      <c r="M43" s="33"/>
      <c r="Q43" s="14"/>
      <c r="R43" s="14"/>
      <c r="S43" s="14"/>
      <c r="T43" s="14"/>
      <c r="U43" s="14"/>
      <c r="V43" s="14"/>
      <c r="Y43" s="6"/>
    </row>
    <row r="44" spans="1:25" hidden="1" outlineLevel="1" x14ac:dyDescent="0.3">
      <c r="A44" s="198" t="s">
        <v>81</v>
      </c>
      <c r="B44" s="149">
        <f t="shared" si="0"/>
        <v>39</v>
      </c>
      <c r="C44" s="4"/>
      <c r="D44" s="4"/>
      <c r="E44" s="4"/>
      <c r="F44" s="1225"/>
      <c r="G44" s="4"/>
      <c r="H44" s="4" t="s">
        <v>82</v>
      </c>
      <c r="I44" s="17">
        <f>SUBTOTAL(9,I45:I49)</f>
        <v>0</v>
      </c>
      <c r="J44" s="17">
        <f>SUBTOTAL(9,J45:J49)</f>
        <v>0</v>
      </c>
      <c r="K44" s="17">
        <f>VLOOKUP(Tabelle1[[#This Row],[Titel]],[2]Haushalt!$A:$S,19,FALSE)</f>
        <v>0</v>
      </c>
      <c r="L44" s="17">
        <f>SUBTOTAL(9,L45:L49)</f>
        <v>500</v>
      </c>
      <c r="M44" s="946">
        <f>VLOOKUP(Tabelle1[[#This Row],[Titel]],[3]Haushalt!$A$8:$W$282,8,FALSE)</f>
        <v>0</v>
      </c>
      <c r="N44" s="17">
        <f t="shared" ref="N44:U44" si="10">SUBTOTAL(9,N45:N49)</f>
        <v>1200</v>
      </c>
      <c r="O44" s="17">
        <f t="shared" si="10"/>
        <v>0</v>
      </c>
      <c r="P44" s="17">
        <f t="shared" si="10"/>
        <v>0</v>
      </c>
      <c r="Q44" s="17">
        <f t="shared" si="10"/>
        <v>0</v>
      </c>
      <c r="R44" s="17">
        <f t="shared" si="10"/>
        <v>0</v>
      </c>
      <c r="S44" s="17">
        <f t="shared" si="10"/>
        <v>0</v>
      </c>
      <c r="T44" s="17">
        <f t="shared" si="10"/>
        <v>0</v>
      </c>
      <c r="U44" s="17">
        <f t="shared" si="10"/>
        <v>0</v>
      </c>
      <c r="V44" s="14"/>
      <c r="X44" s="6"/>
      <c r="Y44" s="6"/>
    </row>
    <row r="45" spans="1:25" hidden="1" outlineLevel="2" x14ac:dyDescent="0.3">
      <c r="A45" s="199" t="s">
        <v>83</v>
      </c>
      <c r="B45" s="150">
        <f t="shared" si="0"/>
        <v>40</v>
      </c>
      <c r="C45" s="3">
        <v>4205</v>
      </c>
      <c r="D45" s="3">
        <v>1</v>
      </c>
      <c r="E45" s="3"/>
      <c r="F45" s="276"/>
      <c r="G45" s="3" t="s">
        <v>41</v>
      </c>
      <c r="H45" s="12" t="s">
        <v>70</v>
      </c>
      <c r="I45" s="1210">
        <v>0</v>
      </c>
      <c r="J45" s="1210">
        <v>0</v>
      </c>
      <c r="K45" s="1211">
        <f>VLOOKUP(Tabelle1[[#This Row],[Titel]],[2]Haushalt!$A:$S,19,FALSE)</f>
        <v>0</v>
      </c>
      <c r="L45" s="18">
        <f>WiWi!G6</f>
        <v>0</v>
      </c>
      <c r="M45" s="948">
        <f>VLOOKUP(Tabelle1[[#This Row],[Titel]],[3]Haushalt!$A$8:$W$282,8,FALSE)</f>
        <v>0</v>
      </c>
      <c r="N45" s="18">
        <v>0</v>
      </c>
      <c r="O45" s="18">
        <f>[4]WiWi!G6</f>
        <v>0</v>
      </c>
      <c r="P45" s="18">
        <v>0</v>
      </c>
      <c r="Q45" s="18"/>
      <c r="R45" s="18"/>
      <c r="S45" s="18"/>
      <c r="T45" s="18"/>
      <c r="U45" s="18"/>
      <c r="V45" s="14"/>
      <c r="Y45" s="6"/>
    </row>
    <row r="46" spans="1:25" hidden="1" outlineLevel="2" x14ac:dyDescent="0.3">
      <c r="A46" s="199" t="s">
        <v>84</v>
      </c>
      <c r="B46" s="150">
        <f t="shared" si="0"/>
        <v>41</v>
      </c>
      <c r="C46" s="3">
        <v>4205</v>
      </c>
      <c r="D46" s="3">
        <v>1</v>
      </c>
      <c r="E46" s="3"/>
      <c r="F46" s="276"/>
      <c r="G46" s="3" t="s">
        <v>41</v>
      </c>
      <c r="H46" s="12" t="s">
        <v>72</v>
      </c>
      <c r="I46" s="1210">
        <v>0</v>
      </c>
      <c r="J46" s="1210">
        <v>0</v>
      </c>
      <c r="K46" s="1211">
        <f>VLOOKUP(Tabelle1[[#This Row],[Titel]],[2]Haushalt!$A:$S,19,FALSE)</f>
        <v>0</v>
      </c>
      <c r="L46" s="18">
        <f>KSW!E6</f>
        <v>500</v>
      </c>
      <c r="M46" s="948">
        <f>VLOOKUP(Tabelle1[[#This Row],[Titel]],[3]Haushalt!$A$8:$W$282,8,FALSE)</f>
        <v>0</v>
      </c>
      <c r="N46" s="18">
        <v>1200</v>
      </c>
      <c r="O46" s="18">
        <f>KSW!I6</f>
        <v>0</v>
      </c>
      <c r="P46" s="18">
        <v>0</v>
      </c>
      <c r="Q46" s="18"/>
      <c r="R46" s="18"/>
      <c r="S46" s="18"/>
      <c r="T46" s="18"/>
      <c r="U46" s="18"/>
      <c r="V46" s="14"/>
      <c r="X46" s="6"/>
      <c r="Y46" s="6"/>
    </row>
    <row r="47" spans="1:25" hidden="1" outlineLevel="2" x14ac:dyDescent="0.3">
      <c r="A47" s="199" t="s">
        <v>85</v>
      </c>
      <c r="B47" s="150">
        <f t="shared" si="0"/>
        <v>42</v>
      </c>
      <c r="C47" s="3">
        <v>4205</v>
      </c>
      <c r="D47" s="3">
        <v>1</v>
      </c>
      <c r="E47" s="3"/>
      <c r="F47" s="276"/>
      <c r="G47" s="3" t="s">
        <v>41</v>
      </c>
      <c r="H47" s="12" t="s">
        <v>75</v>
      </c>
      <c r="I47" s="1210">
        <v>0</v>
      </c>
      <c r="J47" s="1210">
        <v>0</v>
      </c>
      <c r="K47" s="1211">
        <f>VLOOKUP(Tabelle1[[#This Row],[Titel]],[2]Haushalt!$A:$S,19,FALSE)</f>
        <v>0</v>
      </c>
      <c r="L47" s="18">
        <f>PSY!E6</f>
        <v>0</v>
      </c>
      <c r="M47" s="948">
        <f>VLOOKUP(Tabelle1[[#This Row],[Titel]],[3]Haushalt!$A$8:$W$282,8,FALSE)</f>
        <v>0</v>
      </c>
      <c r="N47" s="18">
        <v>0</v>
      </c>
      <c r="O47" s="18">
        <f>PSY!I6</f>
        <v>0</v>
      </c>
      <c r="P47" s="18">
        <v>0</v>
      </c>
      <c r="Q47" s="18"/>
      <c r="R47" s="18"/>
      <c r="S47" s="18"/>
      <c r="T47" s="18"/>
      <c r="U47" s="18"/>
      <c r="V47" s="14"/>
      <c r="Y47" s="6"/>
    </row>
    <row r="48" spans="1:25" hidden="1" outlineLevel="2" x14ac:dyDescent="0.3">
      <c r="A48" s="199" t="s">
        <v>86</v>
      </c>
      <c r="B48" s="150">
        <f t="shared" si="0"/>
        <v>43</v>
      </c>
      <c r="C48" s="3">
        <v>4205</v>
      </c>
      <c r="D48" s="3">
        <v>1</v>
      </c>
      <c r="E48" s="3"/>
      <c r="F48" s="276"/>
      <c r="G48" s="3" t="s">
        <v>41</v>
      </c>
      <c r="H48" s="12" t="s">
        <v>78</v>
      </c>
      <c r="I48" s="1210">
        <v>0</v>
      </c>
      <c r="J48" s="1210">
        <v>0</v>
      </c>
      <c r="K48" s="1211">
        <f>VLOOKUP(Tabelle1[[#This Row],[Titel]],[2]Haushalt!$A:$S,19,FALSE)</f>
        <v>0</v>
      </c>
      <c r="L48" s="18">
        <f>ReWi!E6</f>
        <v>0</v>
      </c>
      <c r="M48" s="948">
        <f>VLOOKUP(Tabelle1[[#This Row],[Titel]],[3]Haushalt!$A$8:$W$282,8,FALSE)</f>
        <v>0</v>
      </c>
      <c r="N48" s="18">
        <v>0</v>
      </c>
      <c r="O48" s="18">
        <f>ReWi!I6</f>
        <v>0</v>
      </c>
      <c r="P48" s="18">
        <v>0</v>
      </c>
      <c r="Q48" s="18"/>
      <c r="R48" s="18"/>
      <c r="S48" s="18"/>
      <c r="T48" s="18"/>
      <c r="U48" s="18"/>
      <c r="V48" s="14"/>
      <c r="X48" s="6"/>
      <c r="Y48" s="6"/>
    </row>
    <row r="49" spans="1:25" hidden="1" outlineLevel="2" x14ac:dyDescent="0.3">
      <c r="A49" s="199" t="s">
        <v>87</v>
      </c>
      <c r="B49" s="150">
        <f t="shared" si="0"/>
        <v>44</v>
      </c>
      <c r="C49" s="3">
        <v>4205</v>
      </c>
      <c r="D49" s="3">
        <v>1</v>
      </c>
      <c r="E49" s="3"/>
      <c r="F49" s="276"/>
      <c r="G49" s="3" t="s">
        <v>41</v>
      </c>
      <c r="H49" s="12" t="s">
        <v>80</v>
      </c>
      <c r="I49" s="1210">
        <v>0</v>
      </c>
      <c r="J49" s="1210">
        <v>0</v>
      </c>
      <c r="K49" s="1211">
        <f>VLOOKUP(Tabelle1[[#This Row],[Titel]],[2]Haushalt!$A:$S,19,FALSE)</f>
        <v>0</v>
      </c>
      <c r="L49" s="18">
        <f>M_I!G6</f>
        <v>0</v>
      </c>
      <c r="M49" s="948">
        <f>VLOOKUP(Tabelle1[[#This Row],[Titel]],[3]Haushalt!$A$8:$W$282,8,FALSE)</f>
        <v>0</v>
      </c>
      <c r="N49" s="18">
        <v>0</v>
      </c>
      <c r="O49" s="18">
        <f>M_I!K6</f>
        <v>0</v>
      </c>
      <c r="P49" s="18">
        <v>0</v>
      </c>
      <c r="Q49" s="18"/>
      <c r="R49" s="18"/>
      <c r="S49" s="18"/>
      <c r="T49" s="18"/>
      <c r="U49" s="18"/>
      <c r="V49" s="14"/>
      <c r="Y49" s="6"/>
    </row>
    <row r="50" spans="1:25" hidden="1" outlineLevel="1" collapsed="1" x14ac:dyDescent="0.3">
      <c r="B50" s="151">
        <f t="shared" si="0"/>
        <v>45</v>
      </c>
      <c r="C50"/>
      <c r="D50"/>
      <c r="E50"/>
      <c r="M50" s="33"/>
      <c r="Q50" s="14"/>
      <c r="R50" s="14"/>
      <c r="S50" s="14"/>
      <c r="T50" s="14"/>
      <c r="U50" s="14"/>
      <c r="V50" s="14"/>
      <c r="X50" s="6"/>
      <c r="Y50" s="6"/>
    </row>
    <row r="51" spans="1:25" hidden="1" outlineLevel="1" x14ac:dyDescent="0.3">
      <c r="A51" s="198" t="s">
        <v>88</v>
      </c>
      <c r="B51" s="149">
        <f t="shared" si="0"/>
        <v>46</v>
      </c>
      <c r="C51" s="4"/>
      <c r="D51" s="4"/>
      <c r="E51" s="4"/>
      <c r="F51" s="1225"/>
      <c r="G51" s="4"/>
      <c r="H51" s="4" t="s">
        <v>89</v>
      </c>
      <c r="I51" s="17">
        <f>SUBTOTAL(9,I52:I56)</f>
        <v>0</v>
      </c>
      <c r="J51" s="17">
        <f>SUBTOTAL(9,J52:J56)</f>
        <v>0</v>
      </c>
      <c r="K51" s="17">
        <f>VLOOKUP(Tabelle1[[#This Row],[Titel]],[2]Haushalt!$A:$S,19,FALSE)</f>
        <v>0</v>
      </c>
      <c r="L51" s="17">
        <f>SUBTOTAL(9,L52:L56)</f>
        <v>0</v>
      </c>
      <c r="M51" s="946">
        <f>VLOOKUP(Tabelle1[[#This Row],[Titel]],[3]Haushalt!$A$8:$W$282,8,FALSE)</f>
        <v>0</v>
      </c>
      <c r="N51" s="17">
        <f t="shared" ref="N51:U51" si="11">SUBTOTAL(9,N52:N56)</f>
        <v>0</v>
      </c>
      <c r="O51" s="17">
        <f t="shared" si="11"/>
        <v>0</v>
      </c>
      <c r="P51" s="17">
        <f t="shared" si="11"/>
        <v>0</v>
      </c>
      <c r="Q51" s="17">
        <f t="shared" si="11"/>
        <v>0</v>
      </c>
      <c r="R51" s="17">
        <f t="shared" si="11"/>
        <v>0</v>
      </c>
      <c r="S51" s="17">
        <f t="shared" si="11"/>
        <v>0</v>
      </c>
      <c r="T51" s="17">
        <f t="shared" si="11"/>
        <v>0</v>
      </c>
      <c r="U51" s="17">
        <f t="shared" si="11"/>
        <v>0</v>
      </c>
      <c r="V51" s="14"/>
      <c r="Y51" s="6"/>
    </row>
    <row r="52" spans="1:25" hidden="1" outlineLevel="2" x14ac:dyDescent="0.3">
      <c r="A52" s="199" t="s">
        <v>90</v>
      </c>
      <c r="B52" s="150">
        <f t="shared" si="0"/>
        <v>47</v>
      </c>
      <c r="C52" s="3">
        <v>4211</v>
      </c>
      <c r="D52" s="3">
        <v>3</v>
      </c>
      <c r="E52" s="3"/>
      <c r="F52" s="276"/>
      <c r="G52" s="3" t="s">
        <v>41</v>
      </c>
      <c r="H52" s="12" t="s">
        <v>70</v>
      </c>
      <c r="I52" s="1210">
        <v>0</v>
      </c>
      <c r="J52" s="1210">
        <v>0</v>
      </c>
      <c r="K52" s="1211">
        <f>VLOOKUP(Tabelle1[[#This Row],[Titel]],[2]Haushalt!$A:$S,19,FALSE)</f>
        <v>0</v>
      </c>
      <c r="L52" s="18">
        <f>WiWi!G7</f>
        <v>0</v>
      </c>
      <c r="M52" s="948">
        <f>VLOOKUP(Tabelle1[[#This Row],[Titel]],[3]Haushalt!$A$8:$W$282,8,FALSE)</f>
        <v>0</v>
      </c>
      <c r="N52" s="18">
        <v>0</v>
      </c>
      <c r="O52" s="18">
        <f>[4]WiWi!G7</f>
        <v>0</v>
      </c>
      <c r="P52" s="18">
        <v>0</v>
      </c>
      <c r="Q52" s="18"/>
      <c r="R52" s="18"/>
      <c r="S52" s="18"/>
      <c r="T52" s="18"/>
      <c r="U52" s="18"/>
      <c r="V52" s="14"/>
      <c r="X52" s="6"/>
      <c r="Y52" s="6"/>
    </row>
    <row r="53" spans="1:25" hidden="1" outlineLevel="2" x14ac:dyDescent="0.3">
      <c r="A53" s="199" t="s">
        <v>91</v>
      </c>
      <c r="B53" s="150">
        <f t="shared" si="0"/>
        <v>48</v>
      </c>
      <c r="C53" s="3">
        <v>4211</v>
      </c>
      <c r="D53" s="3">
        <v>3</v>
      </c>
      <c r="E53" s="3"/>
      <c r="F53" s="276"/>
      <c r="G53" s="3" t="s">
        <v>41</v>
      </c>
      <c r="H53" s="12" t="s">
        <v>72</v>
      </c>
      <c r="I53" s="1210">
        <v>0</v>
      </c>
      <c r="J53" s="1210">
        <v>0</v>
      </c>
      <c r="K53" s="1211">
        <f>VLOOKUP(Tabelle1[[#This Row],[Titel]],[2]Haushalt!$A:$S,19,FALSE)</f>
        <v>0</v>
      </c>
      <c r="L53" s="18">
        <f>KSW!E7</f>
        <v>0</v>
      </c>
      <c r="M53" s="948">
        <f>VLOOKUP(Tabelle1[[#This Row],[Titel]],[3]Haushalt!$A$8:$W$282,8,FALSE)</f>
        <v>0</v>
      </c>
      <c r="N53" s="18">
        <v>0</v>
      </c>
      <c r="O53" s="18">
        <f>KSW!I7</f>
        <v>0</v>
      </c>
      <c r="P53" s="18">
        <v>0</v>
      </c>
      <c r="Q53" s="18"/>
      <c r="R53" s="18"/>
      <c r="S53" s="18"/>
      <c r="T53" s="18"/>
      <c r="U53" s="18"/>
      <c r="V53" s="14"/>
      <c r="Y53" s="6"/>
    </row>
    <row r="54" spans="1:25" hidden="1" outlineLevel="2" x14ac:dyDescent="0.3">
      <c r="A54" s="199" t="s">
        <v>92</v>
      </c>
      <c r="B54" s="150">
        <f t="shared" si="0"/>
        <v>49</v>
      </c>
      <c r="C54" s="3">
        <v>4211</v>
      </c>
      <c r="D54" s="3">
        <v>3</v>
      </c>
      <c r="E54" s="3"/>
      <c r="F54" s="276"/>
      <c r="G54" s="3" t="s">
        <v>41</v>
      </c>
      <c r="H54" s="12" t="s">
        <v>75</v>
      </c>
      <c r="I54" s="1210">
        <v>0</v>
      </c>
      <c r="J54" s="1210">
        <v>0</v>
      </c>
      <c r="K54" s="1211">
        <f>VLOOKUP(Tabelle1[[#This Row],[Titel]],[2]Haushalt!$A:$S,19,FALSE)</f>
        <v>0</v>
      </c>
      <c r="L54" s="18">
        <f>PSY!E7</f>
        <v>0</v>
      </c>
      <c r="M54" s="948">
        <f>VLOOKUP(Tabelle1[[#This Row],[Titel]],[3]Haushalt!$A$8:$W$282,8,FALSE)</f>
        <v>0</v>
      </c>
      <c r="N54" s="18">
        <v>0</v>
      </c>
      <c r="O54" s="18">
        <f>PSY!I7</f>
        <v>0</v>
      </c>
      <c r="P54" s="18">
        <v>0</v>
      </c>
      <c r="Q54" s="18"/>
      <c r="R54" s="18"/>
      <c r="S54" s="18"/>
      <c r="T54" s="18"/>
      <c r="U54" s="18"/>
      <c r="V54" s="14"/>
      <c r="X54" s="6"/>
      <c r="Y54" s="6"/>
    </row>
    <row r="55" spans="1:25" hidden="1" outlineLevel="2" x14ac:dyDescent="0.3">
      <c r="A55" s="199" t="s">
        <v>93</v>
      </c>
      <c r="B55" s="150">
        <f t="shared" si="0"/>
        <v>50</v>
      </c>
      <c r="C55" s="3">
        <v>4211</v>
      </c>
      <c r="D55" s="3">
        <v>3</v>
      </c>
      <c r="E55" s="3"/>
      <c r="F55" s="276"/>
      <c r="G55" s="3" t="s">
        <v>41</v>
      </c>
      <c r="H55" s="12" t="s">
        <v>78</v>
      </c>
      <c r="I55" s="1210">
        <v>0</v>
      </c>
      <c r="J55" s="1210">
        <v>0</v>
      </c>
      <c r="K55" s="1211">
        <f>VLOOKUP(Tabelle1[[#This Row],[Titel]],[2]Haushalt!$A:$S,19,FALSE)</f>
        <v>0</v>
      </c>
      <c r="L55" s="18">
        <f>ReWi!E7</f>
        <v>0</v>
      </c>
      <c r="M55" s="948">
        <f>VLOOKUP(Tabelle1[[#This Row],[Titel]],[3]Haushalt!$A$8:$W$282,8,FALSE)</f>
        <v>0</v>
      </c>
      <c r="N55" s="18">
        <v>0</v>
      </c>
      <c r="O55" s="18">
        <f>ReWi!I7</f>
        <v>0</v>
      </c>
      <c r="P55" s="18">
        <v>0</v>
      </c>
      <c r="Q55" s="18"/>
      <c r="R55" s="18"/>
      <c r="S55" s="18"/>
      <c r="T55" s="18"/>
      <c r="U55" s="18"/>
      <c r="V55" s="14"/>
      <c r="Y55" s="6"/>
    </row>
    <row r="56" spans="1:25" hidden="1" outlineLevel="2" x14ac:dyDescent="0.3">
      <c r="A56" s="199" t="s">
        <v>94</v>
      </c>
      <c r="B56" s="150">
        <f t="shared" si="0"/>
        <v>51</v>
      </c>
      <c r="C56" s="3">
        <v>4211</v>
      </c>
      <c r="D56" s="3">
        <v>3</v>
      </c>
      <c r="E56" s="3"/>
      <c r="F56" s="276"/>
      <c r="G56" s="3" t="s">
        <v>41</v>
      </c>
      <c r="H56" s="12" t="s">
        <v>80</v>
      </c>
      <c r="I56" s="1210">
        <v>0</v>
      </c>
      <c r="J56" s="1210">
        <v>0</v>
      </c>
      <c r="K56" s="1211">
        <f>VLOOKUP(Tabelle1[[#This Row],[Titel]],[2]Haushalt!$A:$S,19,FALSE)</f>
        <v>0</v>
      </c>
      <c r="L56" s="18">
        <f>M_I!G7</f>
        <v>0</v>
      </c>
      <c r="M56" s="948">
        <f>VLOOKUP(Tabelle1[[#This Row],[Titel]],[3]Haushalt!$A$8:$W$282,8,FALSE)</f>
        <v>0</v>
      </c>
      <c r="N56" s="18">
        <v>0</v>
      </c>
      <c r="O56" s="18">
        <f>M_I!K7</f>
        <v>0</v>
      </c>
      <c r="P56" s="18">
        <v>0</v>
      </c>
      <c r="Q56" s="18"/>
      <c r="R56" s="18"/>
      <c r="S56" s="18"/>
      <c r="T56" s="18"/>
      <c r="U56" s="18"/>
      <c r="V56" s="14"/>
      <c r="X56" s="6"/>
      <c r="Y56" s="6"/>
    </row>
    <row r="57" spans="1:25" hidden="1" outlineLevel="1" collapsed="1" x14ac:dyDescent="0.3">
      <c r="B57" s="151">
        <f t="shared" si="0"/>
        <v>52</v>
      </c>
      <c r="C57"/>
      <c r="D57"/>
      <c r="E57"/>
      <c r="M57" s="33"/>
      <c r="Q57" s="14"/>
      <c r="R57" s="14"/>
      <c r="S57" s="14"/>
      <c r="T57" s="14"/>
      <c r="U57" s="14"/>
      <c r="V57" s="14"/>
      <c r="Y57" s="6"/>
    </row>
    <row r="58" spans="1:25" hidden="1" outlineLevel="1" x14ac:dyDescent="0.3">
      <c r="B58" s="151">
        <f>ROW(B53)</f>
        <v>53</v>
      </c>
      <c r="C58"/>
      <c r="D58"/>
      <c r="E58"/>
      <c r="M58" s="33"/>
      <c r="Q58" s="14"/>
      <c r="R58" s="14"/>
      <c r="S58" s="14"/>
      <c r="T58" s="14"/>
      <c r="U58" s="14"/>
      <c r="V58" s="14"/>
      <c r="X58" s="6"/>
      <c r="Y58" s="6"/>
    </row>
    <row r="59" spans="1:25" collapsed="1" x14ac:dyDescent="0.3">
      <c r="B59" s="151">
        <f>ROW(B54)</f>
        <v>54</v>
      </c>
      <c r="C59"/>
      <c r="D59"/>
      <c r="E59"/>
      <c r="M59" s="33"/>
      <c r="Q59" s="14"/>
      <c r="R59" s="14"/>
      <c r="S59" s="14"/>
      <c r="T59" s="14"/>
      <c r="U59" s="14"/>
      <c r="V59" s="14"/>
      <c r="Y59" s="6"/>
    </row>
    <row r="60" spans="1:25" x14ac:dyDescent="0.3">
      <c r="A60" s="157" t="s">
        <v>95</v>
      </c>
      <c r="B60" s="148">
        <f>ROW(B54)</f>
        <v>54</v>
      </c>
      <c r="C60" s="2"/>
      <c r="D60" s="2"/>
      <c r="E60" s="2"/>
      <c r="F60" s="1224"/>
      <c r="G60" s="2"/>
      <c r="H60" s="2" t="s">
        <v>96</v>
      </c>
      <c r="I60" s="23">
        <f>I61+I66</f>
        <v>940000</v>
      </c>
      <c r="J60" s="23">
        <f>J61+J66</f>
        <v>689481.07</v>
      </c>
      <c r="K60" s="23">
        <f>VLOOKUP(Tabelle1[[#This Row],[Titel]],[2]Haushalt!$A:$S,19,FALSE)</f>
        <v>689481.07</v>
      </c>
      <c r="L60" s="23">
        <f>L61+L66</f>
        <v>689841.07</v>
      </c>
      <c r="M60" s="945">
        <f>VLOOKUP(Tabelle1[[#This Row],[Titel]],[3]Haushalt!$A$8:$W$282,8,FALSE)</f>
        <v>285497.78000000003</v>
      </c>
      <c r="N60" s="23">
        <f t="shared" ref="N60:U60" si="12">N61+N66</f>
        <v>345497.78</v>
      </c>
      <c r="O60" s="23">
        <f t="shared" si="12"/>
        <v>795000</v>
      </c>
      <c r="P60" s="23">
        <f t="shared" si="12"/>
        <v>820360.34</v>
      </c>
      <c r="Q60" s="23">
        <f t="shared" si="12"/>
        <v>0</v>
      </c>
      <c r="R60" s="23">
        <f t="shared" si="12"/>
        <v>0</v>
      </c>
      <c r="S60" s="23">
        <f t="shared" si="12"/>
        <v>285497.78000000003</v>
      </c>
      <c r="T60" s="23">
        <f t="shared" si="12"/>
        <v>285497.78000000003</v>
      </c>
      <c r="U60" s="23">
        <f t="shared" si="12"/>
        <v>285497.78000000003</v>
      </c>
      <c r="V60" s="14"/>
      <c r="X60" s="6"/>
      <c r="Y60" s="6"/>
    </row>
    <row r="61" spans="1:25" hidden="1" outlineLevel="1" x14ac:dyDescent="0.3">
      <c r="A61" s="198" t="s">
        <v>97</v>
      </c>
      <c r="B61" s="149">
        <f>ROW(B55)</f>
        <v>55</v>
      </c>
      <c r="C61" s="4"/>
      <c r="D61" s="4"/>
      <c r="E61" s="4"/>
      <c r="F61" s="1225"/>
      <c r="G61" s="4"/>
      <c r="H61" s="4" t="s">
        <v>98</v>
      </c>
      <c r="I61" s="17">
        <f>SUBTOTAL(9,I62:I64)</f>
        <v>140000</v>
      </c>
      <c r="J61" s="17">
        <f>SUBTOTAL(9,J62:J64)</f>
        <v>0</v>
      </c>
      <c r="K61" s="17">
        <f>VLOOKUP(Tabelle1[[#This Row],[Titel]],[2]Haushalt!$A:$S,19,FALSE)</f>
        <v>0</v>
      </c>
      <c r="L61" s="17">
        <f>SUBTOTAL(9,L62:L64)</f>
        <v>0</v>
      </c>
      <c r="M61" s="946">
        <f>VLOOKUP(Tabelle1[[#This Row],[Titel]],[3]Haushalt!$A$8:$W$282,8,FALSE)</f>
        <v>0</v>
      </c>
      <c r="N61" s="17">
        <f t="shared" ref="N61:U61" si="13">SUBTOTAL(9,N62:N64)</f>
        <v>60000</v>
      </c>
      <c r="O61" s="17">
        <f t="shared" si="13"/>
        <v>195000</v>
      </c>
      <c r="P61" s="17">
        <f t="shared" si="13"/>
        <v>195000</v>
      </c>
      <c r="Q61" s="17">
        <f t="shared" si="13"/>
        <v>0</v>
      </c>
      <c r="R61" s="17">
        <f t="shared" si="13"/>
        <v>0</v>
      </c>
      <c r="S61" s="17">
        <f t="shared" si="13"/>
        <v>0</v>
      </c>
      <c r="T61" s="17">
        <f t="shared" si="13"/>
        <v>0</v>
      </c>
      <c r="U61" s="17">
        <f t="shared" si="13"/>
        <v>0</v>
      </c>
      <c r="V61" s="14"/>
      <c r="Y61" s="6"/>
    </row>
    <row r="62" spans="1:25" hidden="1" outlineLevel="2" x14ac:dyDescent="0.3">
      <c r="A62" s="199" t="s">
        <v>99</v>
      </c>
      <c r="B62" s="150">
        <f>ROW(B56)</f>
        <v>56</v>
      </c>
      <c r="C62" s="3">
        <v>2100</v>
      </c>
      <c r="D62" s="3">
        <v>2</v>
      </c>
      <c r="E62" s="3"/>
      <c r="F62" s="276"/>
      <c r="G62" s="3" t="s">
        <v>97</v>
      </c>
      <c r="H62" s="3" t="s">
        <v>100</v>
      </c>
      <c r="I62" s="18">
        <v>0</v>
      </c>
      <c r="J62" s="18">
        <v>0</v>
      </c>
      <c r="K62" s="18">
        <f>VLOOKUP(Tabelle1[[#This Row],[Titel]],[2]Haushalt!$A:$S,19,FALSE)</f>
        <v>0</v>
      </c>
      <c r="L62" s="18">
        <v>0</v>
      </c>
      <c r="M62" s="947">
        <f>VLOOKUP(Tabelle1[[#This Row],[Titel]],[3]Haushalt!$A$8:$W$282,8,FALSE)</f>
        <v>0</v>
      </c>
      <c r="N62" s="18">
        <v>0</v>
      </c>
      <c r="O62" s="18">
        <v>0</v>
      </c>
      <c r="P62" s="18">
        <v>0</v>
      </c>
      <c r="Q62" s="18"/>
      <c r="R62" s="18"/>
      <c r="S62" s="18">
        <f>HHJ_2022_2023!J25</f>
        <v>0</v>
      </c>
      <c r="T62" s="18">
        <f>HHJ_2022_2023!K25</f>
        <v>0</v>
      </c>
      <c r="U62" s="18">
        <f>HHJ_2022_2023!M25</f>
        <v>0</v>
      </c>
      <c r="V62" s="14"/>
      <c r="X62" s="6"/>
      <c r="Y62" s="6"/>
    </row>
    <row r="63" spans="1:25" hidden="1" outlineLevel="2" x14ac:dyDescent="0.3">
      <c r="A63" s="199" t="s">
        <v>101</v>
      </c>
      <c r="B63" s="150">
        <f>ROW(B57)</f>
        <v>57</v>
      </c>
      <c r="C63" s="3">
        <v>2000</v>
      </c>
      <c r="D63" s="3">
        <v>2</v>
      </c>
      <c r="E63" s="3"/>
      <c r="F63" s="276"/>
      <c r="G63" s="3" t="s">
        <v>102</v>
      </c>
      <c r="H63" s="3" t="s">
        <v>103</v>
      </c>
      <c r="I63" s="18">
        <v>0</v>
      </c>
      <c r="J63" s="18">
        <v>0</v>
      </c>
      <c r="K63" s="18">
        <f>VLOOKUP(Tabelle1[[#This Row],[Titel]],[2]Haushalt!$A:$S,19,FALSE)</f>
        <v>0</v>
      </c>
      <c r="L63" s="18">
        <v>0</v>
      </c>
      <c r="M63" s="947">
        <f>VLOOKUP(Tabelle1[[#This Row],[Titel]],[3]Haushalt!$A$8:$W$282,8,FALSE)</f>
        <v>0</v>
      </c>
      <c r="N63" s="18">
        <v>0</v>
      </c>
      <c r="O63" s="18">
        <v>195000</v>
      </c>
      <c r="P63" s="18">
        <v>195000</v>
      </c>
      <c r="Q63" s="18"/>
      <c r="R63" s="18"/>
      <c r="S63" s="18">
        <f>HHJ_2022_2023!J26</f>
        <v>0</v>
      </c>
      <c r="T63" s="18">
        <f>HHJ_2022_2023!J26</f>
        <v>0</v>
      </c>
      <c r="U63" s="18">
        <f>HHJ_2022_2023!L26</f>
        <v>0</v>
      </c>
      <c r="V63" s="14"/>
      <c r="Y63" s="6"/>
    </row>
    <row r="64" spans="1:25" hidden="1" outlineLevel="2" x14ac:dyDescent="0.3">
      <c r="A64" s="199" t="s">
        <v>104</v>
      </c>
      <c r="B64" s="150">
        <f>ROW(B58)</f>
        <v>58</v>
      </c>
      <c r="C64" s="3">
        <v>2000</v>
      </c>
      <c r="D64" s="3">
        <v>2</v>
      </c>
      <c r="E64" s="3"/>
      <c r="F64" s="276"/>
      <c r="G64" s="3" t="s">
        <v>41</v>
      </c>
      <c r="H64" s="3" t="s">
        <v>105</v>
      </c>
      <c r="I64" s="18">
        <v>140000</v>
      </c>
      <c r="J64" s="18">
        <v>0</v>
      </c>
      <c r="K64" s="18">
        <f>VLOOKUP(Tabelle1[[#This Row],[Titel]],[2]Haushalt!$A:$S,19,FALSE)</f>
        <v>0</v>
      </c>
      <c r="L64" s="18">
        <v>0</v>
      </c>
      <c r="M64" s="947">
        <f>VLOOKUP(Tabelle1[[#This Row],[Titel]],[3]Haushalt!$A$8:$W$282,8,FALSE)</f>
        <v>0</v>
      </c>
      <c r="N64" s="18">
        <v>60000</v>
      </c>
      <c r="O64" s="18">
        <v>0</v>
      </c>
      <c r="P64" s="18">
        <v>0</v>
      </c>
      <c r="Q64" s="18"/>
      <c r="R64" s="18"/>
      <c r="S64" s="18"/>
      <c r="T64" s="18"/>
      <c r="U64" s="18"/>
      <c r="V64" s="14"/>
      <c r="X64" s="6"/>
      <c r="Y64" s="6"/>
    </row>
    <row r="65" spans="1:25" hidden="1" outlineLevel="1" collapsed="1" x14ac:dyDescent="0.3">
      <c r="B65" s="151">
        <f t="shared" si="0"/>
        <v>60</v>
      </c>
      <c r="C65"/>
      <c r="D65"/>
      <c r="E65"/>
      <c r="M65" s="33"/>
      <c r="Q65" s="14"/>
      <c r="R65" s="14"/>
      <c r="S65" s="14"/>
      <c r="T65" s="14"/>
      <c r="U65" s="14"/>
      <c r="V65" s="14"/>
      <c r="Y65" s="6"/>
    </row>
    <row r="66" spans="1:25" hidden="1" outlineLevel="1" x14ac:dyDescent="0.3">
      <c r="A66" s="198" t="s">
        <v>106</v>
      </c>
      <c r="B66" s="149">
        <f t="shared" ref="B66:B127" si="14">ROW(B61)</f>
        <v>61</v>
      </c>
      <c r="C66" s="4"/>
      <c r="D66" s="4"/>
      <c r="E66" s="4"/>
      <c r="F66" s="1225"/>
      <c r="G66" s="4"/>
      <c r="H66" s="4" t="s">
        <v>107</v>
      </c>
      <c r="I66" s="17">
        <f>SUBTOTAL(9,I67:I69)</f>
        <v>800000</v>
      </c>
      <c r="J66" s="17">
        <f>SUBTOTAL(9,J67:J69)</f>
        <v>689481.07</v>
      </c>
      <c r="K66" s="17">
        <f>VLOOKUP(Tabelle1[[#This Row],[Titel]],[2]Haushalt!$A:$S,19,FALSE)</f>
        <v>689481.07</v>
      </c>
      <c r="L66" s="17">
        <f>SUBTOTAL(9,L67:L69)</f>
        <v>689841.07</v>
      </c>
      <c r="M66" s="946">
        <f>VLOOKUP(Tabelle1[[#This Row],[Titel]],[3]Haushalt!$A$8:$W$282,8,FALSE)</f>
        <v>285497.78000000003</v>
      </c>
      <c r="N66" s="17">
        <f t="shared" ref="N66:U66" si="15">SUBTOTAL(9,N67:N69)</f>
        <v>285497.78000000003</v>
      </c>
      <c r="O66" s="17">
        <f t="shared" si="15"/>
        <v>600000</v>
      </c>
      <c r="P66" s="17">
        <f t="shared" si="15"/>
        <v>625360.34</v>
      </c>
      <c r="Q66" s="17">
        <f t="shared" si="15"/>
        <v>0</v>
      </c>
      <c r="R66" s="17">
        <f t="shared" si="15"/>
        <v>0</v>
      </c>
      <c r="S66" s="17">
        <f t="shared" si="15"/>
        <v>285497.78000000003</v>
      </c>
      <c r="T66" s="17">
        <f t="shared" si="15"/>
        <v>285497.78000000003</v>
      </c>
      <c r="U66" s="17">
        <f t="shared" si="15"/>
        <v>285497.78000000003</v>
      </c>
      <c r="V66" s="14"/>
      <c r="X66" s="6"/>
      <c r="Y66" s="6"/>
    </row>
    <row r="67" spans="1:25" hidden="1" outlineLevel="2" x14ac:dyDescent="0.3">
      <c r="A67" s="199" t="s">
        <v>108</v>
      </c>
      <c r="B67" s="150">
        <f t="shared" si="14"/>
        <v>62</v>
      </c>
      <c r="C67" s="3">
        <v>2970</v>
      </c>
      <c r="D67" s="3">
        <v>2</v>
      </c>
      <c r="E67" s="3"/>
      <c r="F67" s="276"/>
      <c r="G67" s="3" t="s">
        <v>106</v>
      </c>
      <c r="H67" s="3" t="s">
        <v>109</v>
      </c>
      <c r="I67" s="18">
        <v>800000</v>
      </c>
      <c r="J67" s="1210">
        <v>689481.07</v>
      </c>
      <c r="K67" s="1210">
        <f>VLOOKUP(Tabelle1[[#This Row],[Titel]],[2]Haushalt!$A:$S,19,FALSE)</f>
        <v>689481.07</v>
      </c>
      <c r="L67" s="1210">
        <v>689841.07</v>
      </c>
      <c r="M67" s="947">
        <f>VLOOKUP(Tabelle1[[#This Row],[Titel]],[3]Haushalt!$A$8:$W$282,8,FALSE)</f>
        <v>285497.78000000003</v>
      </c>
      <c r="N67" s="18">
        <v>285497.78000000003</v>
      </c>
      <c r="O67" s="18">
        <v>600000</v>
      </c>
      <c r="P67" s="18">
        <v>625360.34</v>
      </c>
      <c r="Q67" s="18"/>
      <c r="R67" s="18"/>
      <c r="S67" s="18">
        <f>HHJ_2022_2023!H27</f>
        <v>285497.78000000003</v>
      </c>
      <c r="T67" s="18">
        <f>HHJ_2022_2023!J27</f>
        <v>285497.78000000003</v>
      </c>
      <c r="U67" s="18">
        <f>HHJ_2022_2023!L27</f>
        <v>285497.78000000003</v>
      </c>
      <c r="V67" s="14"/>
      <c r="Y67" s="6"/>
    </row>
    <row r="68" spans="1:25" hidden="1" outlineLevel="2" x14ac:dyDescent="0.3">
      <c r="A68" s="199" t="s">
        <v>110</v>
      </c>
      <c r="B68" s="150">
        <f t="shared" si="14"/>
        <v>63</v>
      </c>
      <c r="C68" s="3"/>
      <c r="D68" s="3">
        <v>2</v>
      </c>
      <c r="E68" s="3"/>
      <c r="F68" s="276"/>
      <c r="G68" s="3" t="s">
        <v>41</v>
      </c>
      <c r="H68" s="3" t="s">
        <v>111</v>
      </c>
      <c r="I68" s="18">
        <v>0</v>
      </c>
      <c r="J68" s="18">
        <v>0</v>
      </c>
      <c r="K68" s="18">
        <f>VLOOKUP(Tabelle1[[#This Row],[Titel]],[2]Haushalt!$A:$S,19,FALSE)</f>
        <v>0</v>
      </c>
      <c r="L68" s="18">
        <v>0</v>
      </c>
      <c r="M68" s="947">
        <f>VLOOKUP(Tabelle1[[#This Row],[Titel]],[3]Haushalt!$A$8:$W$282,8,FALSE)</f>
        <v>0</v>
      </c>
      <c r="N68" s="18">
        <v>0</v>
      </c>
      <c r="O68" s="18">
        <v>0</v>
      </c>
      <c r="P68" s="18"/>
      <c r="Q68" s="18"/>
      <c r="R68" s="18"/>
      <c r="S68" s="18"/>
      <c r="T68" s="18"/>
      <c r="U68" s="18"/>
      <c r="V68" s="14"/>
      <c r="X68" s="6"/>
      <c r="Y68" s="6"/>
    </row>
    <row r="69" spans="1:25" hidden="1" outlineLevel="1" collapsed="1" x14ac:dyDescent="0.3">
      <c r="B69" s="151">
        <f t="shared" si="14"/>
        <v>64</v>
      </c>
      <c r="C69"/>
      <c r="D69"/>
      <c r="E69"/>
      <c r="M69" s="33"/>
      <c r="Q69" s="14"/>
      <c r="R69" s="14"/>
      <c r="S69" s="14"/>
      <c r="T69" s="14"/>
      <c r="U69" s="14"/>
      <c r="V69" s="14"/>
      <c r="Y69" s="6"/>
    </row>
    <row r="70" spans="1:25" hidden="1" outlineLevel="1" x14ac:dyDescent="0.3">
      <c r="A70" s="198" t="s">
        <v>112</v>
      </c>
      <c r="B70" s="149">
        <f t="shared" si="14"/>
        <v>65</v>
      </c>
      <c r="C70" s="4"/>
      <c r="D70" s="4"/>
      <c r="E70" s="4"/>
      <c r="F70" s="1225"/>
      <c r="G70" s="4"/>
      <c r="H70" s="4" t="s">
        <v>113</v>
      </c>
      <c r="I70" s="17">
        <f>SUBTOTAL(9,I71:I72)</f>
        <v>0</v>
      </c>
      <c r="J70" s="17">
        <f>SUBTOTAL(9,J71:J72)</f>
        <v>0</v>
      </c>
      <c r="K70" s="17">
        <f>VLOOKUP(Tabelle1[[#This Row],[Titel]],[2]Haushalt!$A:$S,19,FALSE)</f>
        <v>0</v>
      </c>
      <c r="L70" s="17">
        <f>SUBTOTAL(9,L71:L72)</f>
        <v>0</v>
      </c>
      <c r="M70" s="946">
        <f>VLOOKUP(Tabelle1[[#This Row],[Titel]],[3]Haushalt!$A$8:$W$282,8,FALSE)</f>
        <v>0</v>
      </c>
      <c r="N70" s="17">
        <f t="shared" ref="N70:U70" si="16">SUBTOTAL(9,N71:N72)</f>
        <v>0</v>
      </c>
      <c r="O70" s="17">
        <f t="shared" si="16"/>
        <v>0</v>
      </c>
      <c r="P70" s="17">
        <f t="shared" si="16"/>
        <v>0</v>
      </c>
      <c r="Q70" s="17">
        <f t="shared" si="16"/>
        <v>0</v>
      </c>
      <c r="R70" s="17">
        <f t="shared" si="16"/>
        <v>0</v>
      </c>
      <c r="S70" s="17">
        <f t="shared" si="16"/>
        <v>0</v>
      </c>
      <c r="T70" s="17">
        <f t="shared" si="16"/>
        <v>0</v>
      </c>
      <c r="U70" s="17">
        <f t="shared" si="16"/>
        <v>0</v>
      </c>
      <c r="V70" s="14"/>
      <c r="X70" s="6"/>
      <c r="Y70" s="6"/>
    </row>
    <row r="71" spans="1:25" hidden="1" outlineLevel="1" x14ac:dyDescent="0.3">
      <c r="A71" s="199" t="s">
        <v>114</v>
      </c>
      <c r="B71" s="150">
        <f t="shared" si="14"/>
        <v>66</v>
      </c>
      <c r="C71" s="3">
        <v>1350</v>
      </c>
      <c r="D71" s="3">
        <v>2</v>
      </c>
      <c r="E71" s="3"/>
      <c r="F71" s="276"/>
      <c r="G71" s="3" t="s">
        <v>41</v>
      </c>
      <c r="H71" s="3" t="s">
        <v>115</v>
      </c>
      <c r="I71" s="18">
        <v>0</v>
      </c>
      <c r="J71" s="18">
        <v>0</v>
      </c>
      <c r="K71" s="18">
        <f>VLOOKUP(Tabelle1[[#This Row],[Titel]],[2]Haushalt!$A:$S,19,FALSE)</f>
        <v>0</v>
      </c>
      <c r="L71" s="18">
        <v>0</v>
      </c>
      <c r="M71" s="18">
        <f>VLOOKUP(Tabelle1[[#This Row],[Titel]],[3]Haushalt!$A$8:$W$282,8,FALSE)</f>
        <v>0</v>
      </c>
      <c r="N71" s="18">
        <v>0</v>
      </c>
      <c r="O71" s="18">
        <v>0</v>
      </c>
      <c r="P71" s="18">
        <v>0</v>
      </c>
      <c r="Q71" s="18">
        <v>0</v>
      </c>
      <c r="R71" s="18">
        <v>0</v>
      </c>
      <c r="S71" s="18"/>
      <c r="T71" s="18"/>
      <c r="U71" s="18"/>
      <c r="V71" s="14"/>
      <c r="Y71" s="6"/>
    </row>
    <row r="72" spans="1:25" hidden="1" outlineLevel="1" x14ac:dyDescent="0.3">
      <c r="A72" s="199" t="s">
        <v>116</v>
      </c>
      <c r="B72" s="150">
        <f t="shared" si="14"/>
        <v>67</v>
      </c>
      <c r="C72" s="3"/>
      <c r="D72" s="3">
        <v>2</v>
      </c>
      <c r="E72" s="3"/>
      <c r="F72" s="276"/>
      <c r="G72" s="3" t="s">
        <v>43</v>
      </c>
      <c r="H72" s="3" t="s">
        <v>117</v>
      </c>
      <c r="I72" s="18">
        <v>0</v>
      </c>
      <c r="J72" s="18">
        <v>0</v>
      </c>
      <c r="K72" s="18">
        <f>VLOOKUP(Tabelle1[[#This Row],[Titel]],[2]Haushalt!$A:$S,19,FALSE)</f>
        <v>0</v>
      </c>
      <c r="L72" s="18">
        <v>0</v>
      </c>
      <c r="M72" s="18">
        <f>VLOOKUP(Tabelle1[[#This Row],[Titel]],[3]Haushalt!$A$8:$W$282,8,FALSE)</f>
        <v>0</v>
      </c>
      <c r="N72" s="18">
        <v>0</v>
      </c>
      <c r="O72" s="18">
        <v>0</v>
      </c>
      <c r="P72" s="18">
        <v>0</v>
      </c>
      <c r="Q72" s="18">
        <v>0</v>
      </c>
      <c r="R72" s="18">
        <v>0</v>
      </c>
      <c r="S72" s="18"/>
      <c r="T72" s="18"/>
      <c r="U72" s="18"/>
      <c r="V72" s="14"/>
      <c r="X72" s="6"/>
      <c r="Y72" s="6"/>
    </row>
    <row r="73" spans="1:25" collapsed="1" x14ac:dyDescent="0.3">
      <c r="B73" s="151">
        <f t="shared" si="14"/>
        <v>68</v>
      </c>
      <c r="C73"/>
      <c r="D73"/>
      <c r="E73"/>
      <c r="M73" s="33"/>
      <c r="Q73" s="14"/>
      <c r="R73" s="14"/>
      <c r="S73" s="14"/>
      <c r="T73" s="14"/>
      <c r="U73" s="14"/>
      <c r="V73" s="14"/>
      <c r="Y73" s="6"/>
    </row>
    <row r="74" spans="1:25" x14ac:dyDescent="0.3">
      <c r="B74" s="151">
        <f>ROW(B70)</f>
        <v>70</v>
      </c>
      <c r="C74"/>
      <c r="D74"/>
      <c r="E74"/>
      <c r="H74" s="157" t="s">
        <v>118</v>
      </c>
      <c r="I74" s="23">
        <f t="shared" ref="I74:P74" si="17">I6+I36+I60</f>
        <v>1591600</v>
      </c>
      <c r="J74" s="23">
        <f t="shared" si="17"/>
        <v>1837652.25</v>
      </c>
      <c r="K74" s="23">
        <f t="shared" si="17"/>
        <v>1786963.7399999998</v>
      </c>
      <c r="L74" s="23">
        <f t="shared" si="17"/>
        <v>1582227.3199999998</v>
      </c>
      <c r="M74" s="23">
        <f t="shared" si="17"/>
        <v>1433893.53</v>
      </c>
      <c r="N74" s="23">
        <f t="shared" si="17"/>
        <v>1568977.28</v>
      </c>
      <c r="O74" s="23">
        <f t="shared" si="17"/>
        <v>1480000</v>
      </c>
      <c r="P74" s="23">
        <f t="shared" si="17"/>
        <v>1500919.53</v>
      </c>
      <c r="Q74" s="23"/>
      <c r="R74" s="23"/>
      <c r="S74" s="23">
        <f>S6+S36+S60</f>
        <v>542448.23</v>
      </c>
      <c r="T74" s="23">
        <f>T6+T36+T60</f>
        <v>744264.9</v>
      </c>
      <c r="U74" s="23">
        <f>U6+U36+U60</f>
        <v>777607.6100000001</v>
      </c>
      <c r="V74" s="14"/>
      <c r="X74" s="6"/>
      <c r="Y74" s="6"/>
    </row>
    <row r="75" spans="1:25" x14ac:dyDescent="0.3">
      <c r="B75" s="151">
        <f>ROW(B71)</f>
        <v>71</v>
      </c>
      <c r="C75"/>
      <c r="D75"/>
      <c r="E75"/>
      <c r="I75" s="14"/>
      <c r="Q75" s="14"/>
      <c r="R75" s="14"/>
      <c r="S75" s="14"/>
      <c r="T75" s="14"/>
      <c r="U75" s="14"/>
      <c r="V75" s="14"/>
      <c r="Y75" s="6"/>
    </row>
    <row r="76" spans="1:25" ht="15.6" x14ac:dyDescent="0.3">
      <c r="A76" s="84" t="s">
        <v>119</v>
      </c>
      <c r="B76" s="147">
        <f>ROW(B72)</f>
        <v>72</v>
      </c>
      <c r="C76" s="6"/>
      <c r="D76" s="6"/>
      <c r="E76" s="6"/>
      <c r="F76" s="204"/>
      <c r="G76" s="7"/>
      <c r="Q76" s="14"/>
      <c r="R76" s="14"/>
      <c r="S76" s="14"/>
      <c r="T76" s="14"/>
      <c r="U76" s="14"/>
      <c r="V76" s="14"/>
      <c r="X76" s="6"/>
      <c r="Y76" s="6"/>
    </row>
    <row r="77" spans="1:25" x14ac:dyDescent="0.3">
      <c r="B77" s="151">
        <f>ROW(B73)</f>
        <v>73</v>
      </c>
      <c r="C77"/>
      <c r="D77"/>
      <c r="E77"/>
      <c r="Q77" s="14"/>
      <c r="R77" s="14"/>
      <c r="S77" s="14"/>
      <c r="T77" s="14"/>
      <c r="U77" s="14"/>
      <c r="V77" s="14"/>
      <c r="Y77" s="6"/>
    </row>
    <row r="78" spans="1:25" x14ac:dyDescent="0.3">
      <c r="A78" s="158" t="s">
        <v>120</v>
      </c>
      <c r="B78" s="152" t="e">
        <f>ROW(#REF!)</f>
        <v>#REF!</v>
      </c>
      <c r="C78" s="8"/>
      <c r="D78" s="8"/>
      <c r="E78" s="8"/>
      <c r="F78" s="1226"/>
      <c r="G78" s="8"/>
      <c r="H78" s="8" t="s">
        <v>121</v>
      </c>
      <c r="I78" s="19">
        <f>SUBTOTAL(9,I80:I113)</f>
        <v>578800</v>
      </c>
      <c r="J78" s="19">
        <f>SUBTOTAL(9,J80:J113)</f>
        <v>491413.58</v>
      </c>
      <c r="K78" s="19">
        <f>VLOOKUP(Tabelle1[[#This Row],[Titel]],[2]Haushalt!$A:$S,19,FALSE)</f>
        <v>370007.95000000007</v>
      </c>
      <c r="L78" s="19">
        <f>SUBTOTAL(9,L80:L113)</f>
        <v>522865</v>
      </c>
      <c r="M78" s="942">
        <f>VLOOKUP(Tabelle1[[#This Row],[Titel]],[3]Haushalt!$A$8:$W$282,8,FALSE)</f>
        <v>408563.82</v>
      </c>
      <c r="N78" s="19">
        <f>SUBTOTAL(9,N80:N113)</f>
        <v>498755</v>
      </c>
      <c r="O78" s="19">
        <f>SUBTOTAL(9,O80:O113)</f>
        <v>460235</v>
      </c>
      <c r="P78" s="19">
        <f>SUBTOTAL(9,P80:P113)</f>
        <v>407438.27</v>
      </c>
      <c r="Q78" s="19"/>
      <c r="R78" s="19"/>
      <c r="S78" s="19">
        <f>SUBTOTAL(9,S80:S113)</f>
        <v>31078.73</v>
      </c>
      <c r="T78" s="19">
        <f>SUBTOTAL(9,T80:T113)</f>
        <v>65648.760000000009</v>
      </c>
      <c r="U78" s="19">
        <f>SUBTOTAL(9,U80:U113)</f>
        <v>90698.83</v>
      </c>
      <c r="V78" s="14"/>
      <c r="X78" s="6"/>
      <c r="Y78" s="6"/>
    </row>
    <row r="79" spans="1:25" hidden="1" outlineLevel="1" x14ac:dyDescent="0.3">
      <c r="A79" s="201" t="s">
        <v>122</v>
      </c>
      <c r="B79" s="153">
        <f t="shared" si="14"/>
        <v>74</v>
      </c>
      <c r="C79" s="9"/>
      <c r="D79" s="9"/>
      <c r="E79" s="9"/>
      <c r="F79" s="1227"/>
      <c r="G79" s="9"/>
      <c r="H79" s="9" t="s">
        <v>123</v>
      </c>
      <c r="I79" s="20">
        <f>SUBTOTAL(9,I80:I84)</f>
        <v>77500</v>
      </c>
      <c r="J79" s="20">
        <f>SUBTOTAL(9,J80:J84)</f>
        <v>68000</v>
      </c>
      <c r="K79" s="20">
        <f>VLOOKUP(Tabelle1[[#This Row],[Titel]],[2]Haushalt!$A:$S,19,FALSE)</f>
        <v>42530</v>
      </c>
      <c r="L79" s="20">
        <f>SUBTOTAL(9,L80:L84)</f>
        <v>92400</v>
      </c>
      <c r="M79" s="752">
        <f>VLOOKUP(Tabelle1[[#This Row],[Titel]],[3]Haushalt!$A$8:$W$282,8,FALSE)</f>
        <v>41663</v>
      </c>
      <c r="N79" s="20">
        <f>SUBTOTAL(9,N80:N84)</f>
        <v>83690</v>
      </c>
      <c r="O79" s="20">
        <f>SUBTOTAL(9,O80:O84)</f>
        <v>70250</v>
      </c>
      <c r="P79" s="20">
        <f>SUBTOTAL(9,P80:P84)</f>
        <v>45805</v>
      </c>
      <c r="Q79" s="20"/>
      <c r="R79" s="20"/>
      <c r="S79" s="20">
        <f>SUBTOTAL(9,S80:S84)</f>
        <v>880</v>
      </c>
      <c r="T79" s="20">
        <f>SUBTOTAL(9,T80:T84)</f>
        <v>2890</v>
      </c>
      <c r="U79" s="20">
        <f>SUBTOTAL(9,U80:U84)</f>
        <v>5270</v>
      </c>
      <c r="V79" s="14"/>
      <c r="Y79" s="6"/>
    </row>
    <row r="80" spans="1:25" hidden="1" outlineLevel="2" x14ac:dyDescent="0.3">
      <c r="A80" s="202" t="s">
        <v>124</v>
      </c>
      <c r="B80" s="154">
        <f t="shared" si="14"/>
        <v>75</v>
      </c>
      <c r="C80" s="10">
        <v>6004</v>
      </c>
      <c r="D80" s="10">
        <v>1</v>
      </c>
      <c r="E80" s="10" t="s">
        <v>1489</v>
      </c>
      <c r="F80" s="1223">
        <v>116004</v>
      </c>
      <c r="G80" s="10" t="s">
        <v>1195</v>
      </c>
      <c r="H80" s="13" t="s">
        <v>1214</v>
      </c>
      <c r="I80" s="1212">
        <v>17000</v>
      </c>
      <c r="J80" s="1212">
        <v>17000</v>
      </c>
      <c r="K80" s="21">
        <f>VLOOKUP(Tabelle1[[#This Row],[Titel]],[2]Haushalt!$A:$S,19,FALSE)</f>
        <v>7840</v>
      </c>
      <c r="L80" s="1074">
        <v>17000</v>
      </c>
      <c r="M80" s="944">
        <f>VLOOKUP(Tabelle1[[#This Row],[Titel]],[3]Haushalt!$A$8:$W$282,8,FALSE)</f>
        <v>10128</v>
      </c>
      <c r="N80" s="21">
        <f>Aufwandsentschädigungen!H4+Aufwandsentschädigungen!H5+Aufwandsentschädigungen!H6</f>
        <v>17440</v>
      </c>
      <c r="O80" s="21">
        <f>SUM(HHJ_2021_2022!U33,HHJ_2021_2022!U36)</f>
        <v>17400</v>
      </c>
      <c r="P80" s="751">
        <v>11920</v>
      </c>
      <c r="Q80" s="21"/>
      <c r="R80" s="21"/>
      <c r="S80" s="21">
        <f>(HHJ_2022_2023!H33*0.4)+(HHJ_2022_2023!H36*0.6)</f>
        <v>448</v>
      </c>
      <c r="T80" s="21">
        <f>(HHJ_2022_2023!J33*0.4)+(HHJ_2022_2023!J36*0.6)</f>
        <v>1159</v>
      </c>
      <c r="U80" s="21">
        <f>(HHJ_2022_2023!L33*0.4)+(HHJ_2022_2023!L36*0.6)</f>
        <v>2079</v>
      </c>
      <c r="V80" s="14"/>
      <c r="X80" s="6"/>
      <c r="Y80" s="6"/>
    </row>
    <row r="81" spans="1:25" hidden="1" outlineLevel="2" x14ac:dyDescent="0.3">
      <c r="A81" s="202" t="s">
        <v>125</v>
      </c>
      <c r="B81" s="154">
        <f t="shared" si="14"/>
        <v>76</v>
      </c>
      <c r="C81" s="10">
        <v>6302</v>
      </c>
      <c r="D81" s="10">
        <v>1</v>
      </c>
      <c r="E81" s="10"/>
      <c r="F81" s="1223">
        <v>116302</v>
      </c>
      <c r="G81" s="10" t="s">
        <v>1196</v>
      </c>
      <c r="H81" s="13" t="s">
        <v>1211</v>
      </c>
      <c r="I81" s="1212">
        <v>25000</v>
      </c>
      <c r="J81" s="1212">
        <v>20000</v>
      </c>
      <c r="K81" s="21">
        <f>VLOOKUP(Tabelle1[[#This Row],[Titel]],[2]Haushalt!$A:$S,19,FALSE)</f>
        <v>12255</v>
      </c>
      <c r="L81" s="1074">
        <v>35000</v>
      </c>
      <c r="M81" s="944">
        <f>VLOOKUP(Tabelle1[[#This Row],[Titel]],[3]Haushalt!$A$8:$W$282,8,FALSE)</f>
        <v>13665</v>
      </c>
      <c r="N81" s="21">
        <f>Aufwandsentschädigungen!I14</f>
        <v>39250</v>
      </c>
      <c r="O81" s="21">
        <f>SUM(HHJ_2021_2022!V33,HHJ_2021_2022!V36)</f>
        <v>26100</v>
      </c>
      <c r="P81" s="751">
        <v>14025</v>
      </c>
      <c r="Q81" s="21"/>
      <c r="R81" s="21"/>
      <c r="S81" s="21">
        <f>(HHJ_2022_2023!H33*0.6)+(HHJ_2022_2023!H36*0.4)</f>
        <v>432</v>
      </c>
      <c r="T81" s="21">
        <f>(HHJ_2022_2023!J33*0.6)+(HHJ_2022_2023!J36*0.4)</f>
        <v>1031</v>
      </c>
      <c r="U81" s="21">
        <f>(HHJ_2022_2023!L33*0.6)+(HHJ_2022_2023!L36*0.4)</f>
        <v>1991</v>
      </c>
      <c r="V81" s="14"/>
      <c r="Y81" s="6"/>
    </row>
    <row r="82" spans="1:25" hidden="1" outlineLevel="2" x14ac:dyDescent="0.3">
      <c r="A82" s="202" t="s">
        <v>126</v>
      </c>
      <c r="B82" s="154">
        <f t="shared" si="14"/>
        <v>77</v>
      </c>
      <c r="C82" s="10">
        <v>6302</v>
      </c>
      <c r="D82" s="10">
        <v>1</v>
      </c>
      <c r="E82" s="10" t="s">
        <v>1490</v>
      </c>
      <c r="F82" s="1223">
        <v>126302</v>
      </c>
      <c r="G82" s="10" t="s">
        <v>126</v>
      </c>
      <c r="H82" s="10" t="s">
        <v>1212</v>
      </c>
      <c r="I82" s="1212">
        <v>30000</v>
      </c>
      <c r="J82" s="1212">
        <v>28000</v>
      </c>
      <c r="K82" s="21">
        <f>VLOOKUP(Tabelle1[[#This Row],[Titel]],[2]Haushalt!$A:$S,19,FALSE)</f>
        <v>21660</v>
      </c>
      <c r="L82" s="1074">
        <v>25000</v>
      </c>
      <c r="M82" s="940">
        <f>VLOOKUP(Tabelle1[[#This Row],[Titel]],[3]Haushalt!$A$8:$W$282,8,FALSE)</f>
        <v>17870</v>
      </c>
      <c r="N82" s="21">
        <v>25000</v>
      </c>
      <c r="O82" s="21">
        <v>25000</v>
      </c>
      <c r="P82" s="751">
        <f>19640</f>
        <v>19640</v>
      </c>
      <c r="Q82" s="21"/>
      <c r="R82" s="21"/>
      <c r="S82" s="21">
        <f>HHJ_2022_2023!H34</f>
        <v>0</v>
      </c>
      <c r="T82" s="21">
        <f>HHJ_2022_2023!J34</f>
        <v>700</v>
      </c>
      <c r="U82" s="21">
        <f>HHJ_2022_2023!L34</f>
        <v>1200</v>
      </c>
      <c r="V82" s="14"/>
      <c r="X82" s="6"/>
      <c r="Y82" s="6"/>
    </row>
    <row r="83" spans="1:25" hidden="1" outlineLevel="2" x14ac:dyDescent="0.3">
      <c r="A83" s="202" t="s">
        <v>127</v>
      </c>
      <c r="B83" s="154">
        <f t="shared" si="14"/>
        <v>78</v>
      </c>
      <c r="C83" s="10">
        <v>6004</v>
      </c>
      <c r="D83" s="10">
        <v>1</v>
      </c>
      <c r="E83" s="10" t="s">
        <v>1491</v>
      </c>
      <c r="F83" s="1223">
        <v>136004</v>
      </c>
      <c r="G83" s="10" t="s">
        <v>41</v>
      </c>
      <c r="H83" s="10" t="s">
        <v>128</v>
      </c>
      <c r="I83" s="1212">
        <v>4000</v>
      </c>
      <c r="J83" s="1212">
        <v>2000</v>
      </c>
      <c r="K83" s="21">
        <f>VLOOKUP(Tabelle1[[#This Row],[Titel]],[2]Haushalt!$A:$S,19,FALSE)</f>
        <v>0</v>
      </c>
      <c r="L83" s="962">
        <f>1200*12</f>
        <v>14400</v>
      </c>
      <c r="M83" s="940">
        <f>VLOOKUP(Tabelle1[[#This Row],[Titel]],[3]Haushalt!$A$8:$W$282,8,FALSE)</f>
        <v>0</v>
      </c>
      <c r="N83" s="21">
        <v>0</v>
      </c>
      <c r="O83" s="21">
        <v>0</v>
      </c>
      <c r="P83" s="750">
        <v>0</v>
      </c>
      <c r="Q83" s="21"/>
      <c r="R83" s="21"/>
      <c r="S83" s="21"/>
      <c r="T83" s="21"/>
      <c r="U83" s="21"/>
      <c r="V83" s="14"/>
      <c r="Y83" s="6"/>
    </row>
    <row r="84" spans="1:25" hidden="1" outlineLevel="2" x14ac:dyDescent="0.3">
      <c r="A84" s="202" t="s">
        <v>129</v>
      </c>
      <c r="B84" s="154">
        <f t="shared" si="14"/>
        <v>79</v>
      </c>
      <c r="C84" s="10">
        <v>6302</v>
      </c>
      <c r="D84" s="10">
        <v>1</v>
      </c>
      <c r="E84" s="10"/>
      <c r="F84" s="1223">
        <v>136302</v>
      </c>
      <c r="G84" s="10" t="s">
        <v>130</v>
      </c>
      <c r="H84" s="10" t="s">
        <v>1213</v>
      </c>
      <c r="I84" s="1212">
        <v>1500</v>
      </c>
      <c r="J84" s="1212">
        <v>1000</v>
      </c>
      <c r="K84" s="21">
        <f>VLOOKUP(Tabelle1[[#This Row],[Titel]],[2]Haushalt!$A:$S,19,FALSE)</f>
        <v>775</v>
      </c>
      <c r="L84" s="1074">
        <v>1000</v>
      </c>
      <c r="M84" s="940">
        <f>VLOOKUP(Tabelle1[[#This Row],[Titel]],[3]Haushalt!$A$8:$W$282,8,FALSE)</f>
        <v>272</v>
      </c>
      <c r="N84" s="21">
        <f>Aufwandsentschädigungen!H14</f>
        <v>2000</v>
      </c>
      <c r="O84" s="21">
        <f>Aufwandsentschädigungen!C14</f>
        <v>1750</v>
      </c>
      <c r="P84" s="751">
        <v>220</v>
      </c>
      <c r="Q84" s="21"/>
      <c r="R84" s="21"/>
      <c r="S84" s="21">
        <f>HHJ_2022_2023!H35+HHJ_2022_2023!H37+HHJ_2022_2023!H151+HHJ_2022_2023!H159+HHJ_2022_2023!H169+HHJ_2022_2023!H183</f>
        <v>0</v>
      </c>
      <c r="T84" s="21">
        <f>HHJ_2022_2023!J35+HHJ_2022_2023!J37+HHJ_2022_2023!J151+HHJ_2022_2023!J159+HHJ_2022_2023!J169+HHJ_2022_2023!J183</f>
        <v>0</v>
      </c>
      <c r="U84" s="21">
        <f>HHJ_2022_2023!L35+HHJ_2022_2023!L37+HHJ_2022_2023!L151+HHJ_2022_2023!L159+HHJ_2022_2023!L169+HHJ_2022_2023!L183</f>
        <v>0</v>
      </c>
      <c r="V84" s="14"/>
      <c r="X84" s="6"/>
      <c r="Y84" s="6"/>
    </row>
    <row r="85" spans="1:25" hidden="1" outlineLevel="1" x14ac:dyDescent="0.3">
      <c r="B85" s="151">
        <f t="shared" si="14"/>
        <v>80</v>
      </c>
      <c r="C85"/>
      <c r="D85"/>
      <c r="E85"/>
      <c r="M85" s="33"/>
      <c r="Q85" s="14"/>
      <c r="R85" s="14"/>
      <c r="S85" s="14"/>
      <c r="T85" s="14"/>
      <c r="U85" s="14"/>
      <c r="V85" s="14"/>
      <c r="Y85" s="6"/>
    </row>
    <row r="86" spans="1:25" hidden="1" outlineLevel="1" x14ac:dyDescent="0.3">
      <c r="A86" s="201" t="s">
        <v>132</v>
      </c>
      <c r="B86" s="153">
        <f t="shared" si="14"/>
        <v>81</v>
      </c>
      <c r="C86" s="9"/>
      <c r="D86" s="9"/>
      <c r="E86" s="9"/>
      <c r="F86" s="1227"/>
      <c r="G86" s="9"/>
      <c r="H86" s="9" t="s">
        <v>133</v>
      </c>
      <c r="I86" s="20">
        <f>SUBTOTAL(9,I87:I87,I89:I94)</f>
        <v>69300</v>
      </c>
      <c r="J86" s="20">
        <f>SUBTOTAL(9,J87:J87,J89:J94)</f>
        <v>66400</v>
      </c>
      <c r="K86" s="20">
        <f>VLOOKUP(Tabelle1[[#This Row],[Titel]],[2]Haushalt!$A:$S,19,FALSE)</f>
        <v>47680.5</v>
      </c>
      <c r="L86" s="20">
        <f>SUBTOTAL(9,L87:L87,L89:L94)</f>
        <v>74070</v>
      </c>
      <c r="M86" s="752">
        <f>VLOOKUP(Tabelle1[[#This Row],[Titel]],[3]Haushalt!$A$8:$W$282,8,FALSE)</f>
        <v>56685</v>
      </c>
      <c r="N86" s="20">
        <f>SUBTOTAL(9,N87:N87,N89:N94)</f>
        <v>74670</v>
      </c>
      <c r="O86" s="20">
        <f>SUBTOTAL(9,O87:O87,O89:O94)</f>
        <v>71500</v>
      </c>
      <c r="P86" s="20">
        <f>SUBTOTAL(9,P87:P87,P89:P94)</f>
        <v>57708.33</v>
      </c>
      <c r="Q86" s="20"/>
      <c r="R86" s="20"/>
      <c r="S86" s="20">
        <f>SUBTOTAL(9,S87:S87,S89:S94)</f>
        <v>3995</v>
      </c>
      <c r="T86" s="20">
        <f>SUBTOTAL(9,T87:T87,T89:T94)</f>
        <v>9215</v>
      </c>
      <c r="U86" s="20">
        <f>SUBTOTAL(9,U87:U87,U89:U94)</f>
        <v>14955.000000000002</v>
      </c>
      <c r="V86" s="14"/>
      <c r="X86" s="6"/>
      <c r="Y86" s="6"/>
    </row>
    <row r="87" spans="1:25" hidden="1" outlineLevel="2" x14ac:dyDescent="0.3">
      <c r="A87" s="202" t="s">
        <v>134</v>
      </c>
      <c r="B87" s="154">
        <f t="shared" si="14"/>
        <v>82</v>
      </c>
      <c r="C87" s="10">
        <v>6004</v>
      </c>
      <c r="D87" s="10">
        <v>1</v>
      </c>
      <c r="E87" s="10"/>
      <c r="F87" s="1223" t="s">
        <v>1492</v>
      </c>
      <c r="G87" s="10" t="s">
        <v>1209</v>
      </c>
      <c r="H87" s="10" t="s">
        <v>1215</v>
      </c>
      <c r="I87" s="1212">
        <v>48000</v>
      </c>
      <c r="J87" s="1212">
        <v>48000</v>
      </c>
      <c r="K87" s="21">
        <f>VLOOKUP(Tabelle1[[#This Row],[Titel]],[2]Haushalt!$A:$S,19,FALSE)</f>
        <v>38425</v>
      </c>
      <c r="L87" s="21">
        <f>800*5*12</f>
        <v>48000</v>
      </c>
      <c r="M87" s="940">
        <f>VLOOKUP(Tabelle1[[#This Row],[Titel]],[3]Haushalt!$A$8:$W$282,8,FALSE)</f>
        <v>46930</v>
      </c>
      <c r="N87" s="21">
        <f>800*5*12</f>
        <v>48000</v>
      </c>
      <c r="O87" s="21">
        <f>800*5*12</f>
        <v>48000</v>
      </c>
      <c r="P87" s="751">
        <f>WiWi!L10+KSW!J10+PSY!J10+ReWi!J10+M_I!L10</f>
        <v>44193.33</v>
      </c>
      <c r="Q87" s="21"/>
      <c r="R87" s="21"/>
      <c r="S87" s="21">
        <f>(HHJ_2022_2023!H199*0.52)+(HHJ_2022_2023!H209*0.87)+(HHJ_2022_2023!H219*0.8)+(HHJ_2022_2023!H229*0.33)+(HHJ_2022_2023!H239*0.26)</f>
        <v>2219.65</v>
      </c>
      <c r="T87" s="21">
        <f>(HHJ_2022_2023!J199*0.52)+(HHJ_2022_2023!J209*0.87)+(HHJ_2022_2023!J219*0.8)+(HHJ_2022_2023!J229*0.33)+(HHJ_2022_2023!J239*0.26)</f>
        <v>5163.75</v>
      </c>
      <c r="U87" s="21">
        <f>(HHJ_2022_2023!L199*0.52)+(HHJ_2022_2023!L209*0.87)+(HHJ_2022_2023!L219*0.8)+(HHJ_2022_2023!L229*0.33)+(HHJ_2022_2023!L239*0.26)</f>
        <v>8593.6</v>
      </c>
      <c r="V87" s="14"/>
      <c r="Y87" s="6"/>
    </row>
    <row r="88" spans="1:25" hidden="1" outlineLevel="2" x14ac:dyDescent="0.3">
      <c r="A88" s="202" t="s">
        <v>135</v>
      </c>
      <c r="B88" s="154">
        <f t="shared" si="14"/>
        <v>83</v>
      </c>
      <c r="C88" s="10"/>
      <c r="D88" s="10"/>
      <c r="E88" s="10"/>
      <c r="F88" s="1223"/>
      <c r="G88" s="10"/>
      <c r="H88" s="10" t="s">
        <v>1210</v>
      </c>
      <c r="I88" s="1213">
        <f>SUBTOTAL(9,I89:I93)</f>
        <v>20300</v>
      </c>
      <c r="J88" s="1213">
        <f>SUBTOTAL(9,J89:J93)</f>
        <v>17400</v>
      </c>
      <c r="K88" s="1213">
        <f>SUBTOTAL(9,K89:K93)</f>
        <v>8550.5</v>
      </c>
      <c r="L88" s="21">
        <f>SUBTOTAL(9,L89:L93)</f>
        <v>25070</v>
      </c>
      <c r="M88" s="940">
        <f>VLOOKUP(Tabelle1[[#This Row],[Titel]],[3]Haushalt!$A$8:$W$282,8,FALSE)</f>
        <v>9365</v>
      </c>
      <c r="N88" s="21">
        <f>SUBTOTAL(9,N89:N93)</f>
        <v>25670</v>
      </c>
      <c r="O88" s="21">
        <f>SUBTOTAL(9,O89:O93)</f>
        <v>22000</v>
      </c>
      <c r="P88" s="751">
        <f>SUBTOTAL(9,P89:P93)</f>
        <v>12720</v>
      </c>
      <c r="Q88" s="21"/>
      <c r="R88" s="21"/>
      <c r="S88" s="940">
        <f>SUBTOTAL(9,S89:S93)</f>
        <v>1775.35</v>
      </c>
      <c r="T88" s="940">
        <f>SUBTOTAL(9,T89:T93)</f>
        <v>3781.25</v>
      </c>
      <c r="U88" s="940">
        <f>SUBTOTAL(9,U89:U93)</f>
        <v>6091.4</v>
      </c>
      <c r="V88" s="14"/>
      <c r="X88" s="6"/>
      <c r="Y88" s="6"/>
    </row>
    <row r="89" spans="1:25" hidden="1" outlineLevel="3" x14ac:dyDescent="0.3">
      <c r="A89" s="202" t="s">
        <v>136</v>
      </c>
      <c r="B89" s="154">
        <f t="shared" si="14"/>
        <v>84</v>
      </c>
      <c r="C89" s="10">
        <v>6302</v>
      </c>
      <c r="D89" s="10">
        <v>1</v>
      </c>
      <c r="E89" s="10" t="s">
        <v>1494</v>
      </c>
      <c r="F89" s="1223">
        <v>156302</v>
      </c>
      <c r="G89" s="10" t="s">
        <v>1208</v>
      </c>
      <c r="H89" s="13" t="s">
        <v>137</v>
      </c>
      <c r="I89" s="1214">
        <v>9500</v>
      </c>
      <c r="J89" s="1212">
        <v>8600</v>
      </c>
      <c r="K89" s="21">
        <f>VLOOKUP(Tabelle1[[#This Row],[Titel]],[2]Haushalt!$A:$S,19,FALSE)</f>
        <v>5365.5</v>
      </c>
      <c r="L89" s="21">
        <f>'WiWi neu'!G11</f>
        <v>8600</v>
      </c>
      <c r="M89" s="944">
        <f>VLOOKUP(Tabelle1[[#This Row],[Titel]],[3]Haushalt!$A$8:$W$282,8,FALSE)</f>
        <v>3695</v>
      </c>
      <c r="N89" s="21">
        <f>WiWi!I11</f>
        <v>8600</v>
      </c>
      <c r="O89" s="21">
        <f>[4]WiWi!G11</f>
        <v>10400</v>
      </c>
      <c r="P89" s="751">
        <f>WiWi!L11</f>
        <v>5830</v>
      </c>
      <c r="Q89" s="21"/>
      <c r="R89" s="21"/>
      <c r="S89" s="21">
        <f>HHJ_2022_2023!H199*0.48</f>
        <v>384</v>
      </c>
      <c r="T89" s="21">
        <f>HHJ_2022_2023!J199*0.48</f>
        <v>868.8</v>
      </c>
      <c r="U89" s="21">
        <f>HHJ_2022_2023!L199*0.48</f>
        <v>1428</v>
      </c>
      <c r="V89" s="14"/>
      <c r="Y89" s="6"/>
    </row>
    <row r="90" spans="1:25" hidden="1" outlineLevel="3" x14ac:dyDescent="0.3">
      <c r="A90" s="202" t="s">
        <v>138</v>
      </c>
      <c r="B90" s="154">
        <f t="shared" si="14"/>
        <v>85</v>
      </c>
      <c r="C90" s="10">
        <v>6302</v>
      </c>
      <c r="D90" s="10">
        <v>1</v>
      </c>
      <c r="E90" s="10" t="s">
        <v>1495</v>
      </c>
      <c r="F90" s="1223">
        <v>166302</v>
      </c>
      <c r="G90" s="10" t="s">
        <v>139</v>
      </c>
      <c r="H90" s="13" t="s">
        <v>140</v>
      </c>
      <c r="I90" s="1214">
        <v>2000</v>
      </c>
      <c r="J90" s="1212">
        <v>1000</v>
      </c>
      <c r="K90" s="21">
        <f>VLOOKUP(Tabelle1[[#This Row],[Titel]],[2]Haushalt!$A:$S,19,FALSE)</f>
        <v>140</v>
      </c>
      <c r="L90" s="21">
        <f>KSW!E11</f>
        <v>5270</v>
      </c>
      <c r="M90" s="944">
        <f>VLOOKUP(Tabelle1[[#This Row],[Titel]],[3]Haushalt!$A$8:$W$282,8,FALSE)</f>
        <v>560</v>
      </c>
      <c r="N90" s="21">
        <f>KSW!G11</f>
        <v>5270</v>
      </c>
      <c r="O90" s="21">
        <f>KSW!I11</f>
        <v>1400</v>
      </c>
      <c r="P90" s="751">
        <f>KSW!J11</f>
        <v>1160</v>
      </c>
      <c r="Q90" s="21"/>
      <c r="R90" s="21"/>
      <c r="S90" s="21">
        <f>HHJ_2022_2023!H209*0.13</f>
        <v>103.35000000000001</v>
      </c>
      <c r="T90" s="21">
        <f>HHJ_2022_2023!J209*0.13</f>
        <v>242.45000000000002</v>
      </c>
      <c r="U90" s="21">
        <f>HHJ_2022_2023!L209*0.13</f>
        <v>330.2</v>
      </c>
      <c r="V90" s="14"/>
      <c r="X90" s="6"/>
      <c r="Y90" s="6"/>
    </row>
    <row r="91" spans="1:25" hidden="1" outlineLevel="3" x14ac:dyDescent="0.3">
      <c r="A91" s="202" t="s">
        <v>141</v>
      </c>
      <c r="B91" s="154">
        <f t="shared" si="14"/>
        <v>86</v>
      </c>
      <c r="C91" s="10">
        <v>6302</v>
      </c>
      <c r="D91" s="10">
        <v>1</v>
      </c>
      <c r="E91" s="10" t="s">
        <v>1496</v>
      </c>
      <c r="F91" s="1223">
        <v>177302</v>
      </c>
      <c r="G91" s="10" t="s">
        <v>142</v>
      </c>
      <c r="H91" s="13" t="s">
        <v>143</v>
      </c>
      <c r="I91" s="1214">
        <v>2000</v>
      </c>
      <c r="J91" s="1212">
        <v>1000</v>
      </c>
      <c r="K91" s="21">
        <f>VLOOKUP(Tabelle1[[#This Row],[Titel]],[2]Haushalt!$A:$S,19,FALSE)</f>
        <v>180</v>
      </c>
      <c r="L91" s="21">
        <f>PSY!E11</f>
        <v>4400</v>
      </c>
      <c r="M91" s="944">
        <f>VLOOKUP(Tabelle1[[#This Row],[Titel]],[3]Haushalt!$A$8:$W$282,8,FALSE)</f>
        <v>2435</v>
      </c>
      <c r="N91" s="21">
        <f>PSY!G11</f>
        <v>4500</v>
      </c>
      <c r="O91" s="21">
        <f>PSY!I11</f>
        <v>2400</v>
      </c>
      <c r="P91" s="751">
        <f>PSY!J11</f>
        <v>3110</v>
      </c>
      <c r="Q91" s="21"/>
      <c r="R91" s="21"/>
      <c r="S91" s="21">
        <f>HHJ_2022_2023!H219*0.2</f>
        <v>160</v>
      </c>
      <c r="T91" s="21">
        <f>HHJ_2022_2023!J219*0.2</f>
        <v>414</v>
      </c>
      <c r="U91" s="21">
        <f>HHJ_2022_2023!L219*0.2</f>
        <v>842</v>
      </c>
      <c r="V91" s="14"/>
      <c r="Y91" s="6"/>
    </row>
    <row r="92" spans="1:25" hidden="1" outlineLevel="3" x14ac:dyDescent="0.3">
      <c r="A92" s="202" t="s">
        <v>144</v>
      </c>
      <c r="B92" s="154">
        <f t="shared" si="14"/>
        <v>87</v>
      </c>
      <c r="C92" s="10">
        <v>6302</v>
      </c>
      <c r="D92" s="10">
        <v>1</v>
      </c>
      <c r="E92" s="10" t="s">
        <v>1498</v>
      </c>
      <c r="F92" s="1223">
        <v>186302</v>
      </c>
      <c r="G92" s="10" t="s">
        <v>145</v>
      </c>
      <c r="H92" s="13" t="s">
        <v>146</v>
      </c>
      <c r="I92" s="1214">
        <v>4400</v>
      </c>
      <c r="J92" s="1212">
        <v>4400</v>
      </c>
      <c r="K92" s="21">
        <f>VLOOKUP(Tabelle1[[#This Row],[Titel]],[2]Haushalt!$A:$S,19,FALSE)</f>
        <v>1860</v>
      </c>
      <c r="L92" s="21">
        <f>ReWi!E11</f>
        <v>4400</v>
      </c>
      <c r="M92" s="944">
        <f>VLOOKUP(Tabelle1[[#This Row],[Titel]],[3]Haushalt!$A$8:$W$282,8,FALSE)</f>
        <v>2435</v>
      </c>
      <c r="N92" s="21">
        <f>ReWi!G11</f>
        <v>5000</v>
      </c>
      <c r="O92" s="21">
        <f>ReWi!I11</f>
        <v>4400</v>
      </c>
      <c r="P92" s="751">
        <f>ReWi!J11</f>
        <v>2350</v>
      </c>
      <c r="Q92" s="21"/>
      <c r="R92" s="21"/>
      <c r="S92" s="21">
        <f>HHJ_2022_2023!H229*0.67</f>
        <v>536</v>
      </c>
      <c r="T92" s="21">
        <f>HHJ_2022_2023!J229*0.67</f>
        <v>1072</v>
      </c>
      <c r="U92" s="21">
        <f>HHJ_2022_2023!L229*0.67</f>
        <v>1715.2</v>
      </c>
      <c r="V92" s="14"/>
      <c r="X92" s="6"/>
      <c r="Y92" s="6"/>
    </row>
    <row r="93" spans="1:25" hidden="1" outlineLevel="3" x14ac:dyDescent="0.3">
      <c r="A93" s="202" t="s">
        <v>147</v>
      </c>
      <c r="B93" s="154">
        <f t="shared" si="14"/>
        <v>88</v>
      </c>
      <c r="C93" s="10">
        <v>6302</v>
      </c>
      <c r="D93" s="10">
        <v>1</v>
      </c>
      <c r="E93" s="10" t="s">
        <v>1497</v>
      </c>
      <c r="F93" s="1223">
        <v>196302</v>
      </c>
      <c r="G93" s="10" t="s">
        <v>1218</v>
      </c>
      <c r="H93" s="13" t="s">
        <v>148</v>
      </c>
      <c r="I93" s="1214">
        <v>2400</v>
      </c>
      <c r="J93" s="1212">
        <v>2400</v>
      </c>
      <c r="K93" s="21">
        <f>VLOOKUP(Tabelle1[[#This Row],[Titel]],[2]Haushalt!$A:$S,19,FALSE)</f>
        <v>1005</v>
      </c>
      <c r="L93" s="21">
        <f>M_I!G11</f>
        <v>2400</v>
      </c>
      <c r="M93" s="944">
        <f>VLOOKUP(Tabelle1[[#This Row],[Titel]],[3]Haushalt!$A$8:$W$282,8,FALSE)</f>
        <v>240</v>
      </c>
      <c r="N93" s="21">
        <f>M_I!I11</f>
        <v>2300</v>
      </c>
      <c r="O93" s="21">
        <f>M_I!K11</f>
        <v>3400</v>
      </c>
      <c r="P93" s="751">
        <f>M_I!L11</f>
        <v>270</v>
      </c>
      <c r="Q93" s="21"/>
      <c r="R93" s="21"/>
      <c r="S93" s="21">
        <f>HHJ_2022_2023!H239*0.74</f>
        <v>592</v>
      </c>
      <c r="T93" s="21">
        <f>HHJ_2022_2023!J239*0.74</f>
        <v>1184</v>
      </c>
      <c r="U93" s="21">
        <f>HHJ_2022_2023!L239*0.74</f>
        <v>1776</v>
      </c>
      <c r="V93" s="14"/>
      <c r="Y93" s="6"/>
    </row>
    <row r="94" spans="1:25" hidden="1" outlineLevel="2" x14ac:dyDescent="0.3">
      <c r="A94" s="202" t="s">
        <v>149</v>
      </c>
      <c r="B94" s="154">
        <f t="shared" si="14"/>
        <v>89</v>
      </c>
      <c r="C94" s="1228">
        <v>6302</v>
      </c>
      <c r="D94" s="10">
        <v>1</v>
      </c>
      <c r="E94" s="10"/>
      <c r="F94" s="1223" t="s">
        <v>1486</v>
      </c>
      <c r="G94" s="10" t="s">
        <v>150</v>
      </c>
      <c r="H94" s="10" t="s">
        <v>151</v>
      </c>
      <c r="I94" s="1214">
        <v>1000</v>
      </c>
      <c r="J94" s="1212">
        <v>1000</v>
      </c>
      <c r="K94" s="21">
        <f>VLOOKUP(Tabelle1[[#This Row],[Titel]],[2]Haushalt!$A:$S,19,FALSE)</f>
        <v>705</v>
      </c>
      <c r="L94" s="21">
        <v>1000</v>
      </c>
      <c r="M94" s="940">
        <f>VLOOKUP(Tabelle1[[#This Row],[Titel]],[3]Haushalt!$A$8:$W$282,8,FALSE)</f>
        <v>390</v>
      </c>
      <c r="N94" s="21">
        <v>1000</v>
      </c>
      <c r="O94" s="21">
        <v>1500</v>
      </c>
      <c r="P94" s="751">
        <v>795</v>
      </c>
      <c r="Q94" s="21"/>
      <c r="R94" s="21"/>
      <c r="S94" s="21">
        <f>HHJ_2022_2023!H192</f>
        <v>0</v>
      </c>
      <c r="T94" s="21">
        <f>HHJ_2022_2023!J192</f>
        <v>270</v>
      </c>
      <c r="U94" s="21">
        <f>HHJ_2022_2023!L192</f>
        <v>270</v>
      </c>
      <c r="V94" s="14"/>
      <c r="X94" s="6"/>
      <c r="Y94" s="6"/>
    </row>
    <row r="95" spans="1:25" hidden="1" outlineLevel="1" x14ac:dyDescent="0.3">
      <c r="B95" s="151">
        <f t="shared" si="14"/>
        <v>90</v>
      </c>
      <c r="C95"/>
      <c r="D95"/>
      <c r="E95"/>
      <c r="M95" s="33"/>
      <c r="Q95" s="14"/>
      <c r="R95" s="14"/>
      <c r="S95" s="14"/>
      <c r="T95" s="14"/>
      <c r="U95" s="14"/>
      <c r="V95" s="14"/>
      <c r="Y95" s="6"/>
    </row>
    <row r="96" spans="1:25" hidden="1" outlineLevel="1" x14ac:dyDescent="0.3">
      <c r="A96" s="201" t="s">
        <v>152</v>
      </c>
      <c r="B96" s="153">
        <f t="shared" si="14"/>
        <v>91</v>
      </c>
      <c r="C96" s="9"/>
      <c r="D96" s="9"/>
      <c r="E96" s="9"/>
      <c r="F96" s="1227"/>
      <c r="G96" s="9"/>
      <c r="H96" s="9" t="s">
        <v>153</v>
      </c>
      <c r="I96" s="20">
        <f>SUBTOTAL(9,I97:I100)</f>
        <v>124250</v>
      </c>
      <c r="J96" s="20">
        <f>SUBTOTAL(9,J97:J100)</f>
        <v>115228.62</v>
      </c>
      <c r="K96" s="20">
        <f>VLOOKUP(Tabelle1[[#This Row],[Titel]],[2]Haushalt!$A:$S,19,FALSE)</f>
        <v>89218.22</v>
      </c>
      <c r="L96" s="20">
        <f>SUBTOTAL(9,L97:L100)</f>
        <v>115200</v>
      </c>
      <c r="M96" s="752">
        <f>VLOOKUP(Tabelle1[[#This Row],[Titel]],[3]Haushalt!$A$8:$W$282,8,FALSE)</f>
        <v>112954.2</v>
      </c>
      <c r="N96" s="20">
        <f>SUBTOTAL(9,N97:N100)</f>
        <v>115200</v>
      </c>
      <c r="O96" s="20">
        <f>SUBTOTAL(9,O97:O100)</f>
        <v>107185</v>
      </c>
      <c r="P96" s="752">
        <f>SUBTOTAL(9,P97:P100)</f>
        <v>116485.4</v>
      </c>
      <c r="Q96" s="20"/>
      <c r="R96" s="20"/>
      <c r="S96" s="752">
        <f>SUBTOTAL(9,S97:S100)</f>
        <v>10079.51</v>
      </c>
      <c r="T96" s="752">
        <f>SUBTOTAL(9,T97:T100)</f>
        <v>19579.87</v>
      </c>
      <c r="U96" s="752">
        <f>SUBTOTAL(9,U97:U100)</f>
        <v>26934.07</v>
      </c>
      <c r="V96" s="14"/>
      <c r="X96" s="6"/>
      <c r="Y96" s="6"/>
    </row>
    <row r="97" spans="1:25" hidden="1" outlineLevel="2" x14ac:dyDescent="0.3">
      <c r="A97" s="202" t="s">
        <v>154</v>
      </c>
      <c r="B97" s="154">
        <f t="shared" si="14"/>
        <v>92</v>
      </c>
      <c r="C97" s="10">
        <v>6035</v>
      </c>
      <c r="D97" s="10">
        <v>1</v>
      </c>
      <c r="E97" s="10" t="s">
        <v>1491</v>
      </c>
      <c r="F97" s="1223">
        <v>136035</v>
      </c>
      <c r="G97" s="10" t="s">
        <v>155</v>
      </c>
      <c r="H97" s="13" t="s">
        <v>156</v>
      </c>
      <c r="I97" s="1212">
        <v>75000</v>
      </c>
      <c r="J97" s="1212">
        <v>70000</v>
      </c>
      <c r="K97" s="21">
        <f>VLOOKUP(Tabelle1[[#This Row],[Titel]],[2]Haushalt!$A:$S,19,FALSE)</f>
        <v>52704</v>
      </c>
      <c r="L97" s="21">
        <f>Stellenplan!T6</f>
        <v>70000</v>
      </c>
      <c r="M97" s="944">
        <f>VLOOKUP(Tabelle1[[#This Row],[Titel]],[3]Haushalt!$A$8:$W$282,8,FALSE)</f>
        <v>66757.8</v>
      </c>
      <c r="N97" s="21">
        <f>Stellenplan!N6</f>
        <v>70000</v>
      </c>
      <c r="O97" s="21">
        <f>Stellenplan!H6</f>
        <v>63000</v>
      </c>
      <c r="P97" s="751">
        <v>68187</v>
      </c>
      <c r="Q97" s="21"/>
      <c r="R97" s="21"/>
      <c r="S97" s="21">
        <f>HHJ_2022_2023!H40</f>
        <v>5988</v>
      </c>
      <c r="T97" s="21">
        <f>HHJ_2022_2023!J40</f>
        <v>11676</v>
      </c>
      <c r="U97" s="21">
        <f>HHJ_2022_2023!L40</f>
        <v>16930.2</v>
      </c>
      <c r="V97" s="14"/>
      <c r="Y97" s="6"/>
    </row>
    <row r="98" spans="1:25" hidden="1" outlineLevel="2" x14ac:dyDescent="0.3">
      <c r="A98" s="202" t="s">
        <v>157</v>
      </c>
      <c r="B98" s="154">
        <f t="shared" si="14"/>
        <v>93</v>
      </c>
      <c r="C98" s="10" t="s">
        <v>1474</v>
      </c>
      <c r="D98" s="10">
        <v>1</v>
      </c>
      <c r="E98" s="10">
        <v>3</v>
      </c>
      <c r="F98" s="1223" t="s">
        <v>1487</v>
      </c>
      <c r="G98" s="10" t="s">
        <v>160</v>
      </c>
      <c r="H98" s="13" t="s">
        <v>158</v>
      </c>
      <c r="I98" s="1212">
        <v>22000</v>
      </c>
      <c r="J98" s="1212">
        <v>18000</v>
      </c>
      <c r="K98" s="21">
        <f>VLOOKUP(Tabelle1[[#This Row],[Titel]],[2]Haushalt!$A:$S,19,FALSE)</f>
        <v>15285.6</v>
      </c>
      <c r="L98" s="21">
        <f>Stellenplan!U6</f>
        <v>18000</v>
      </c>
      <c r="M98" s="944">
        <f>VLOOKUP(Tabelle1[[#This Row],[Titel]],[3]Haushalt!$A$8:$W$282,8,FALSE)</f>
        <v>19458.599999999999</v>
      </c>
      <c r="N98" s="21">
        <f>Stellenplan!O6</f>
        <v>18000</v>
      </c>
      <c r="O98" s="21">
        <f>Stellenplan!I6</f>
        <v>19000</v>
      </c>
      <c r="P98" s="751">
        <v>21331.89</v>
      </c>
      <c r="Q98" s="21"/>
      <c r="R98" s="21"/>
      <c r="S98" s="21">
        <f>HHJ_2022_2023!H41</f>
        <v>1816.51</v>
      </c>
      <c r="T98" s="21">
        <f>HHJ_2022_2023!J41</f>
        <v>3353.87</v>
      </c>
      <c r="U98" s="21">
        <f>HHJ_2022_2023!L41</f>
        <v>3353.87</v>
      </c>
      <c r="V98" s="14"/>
      <c r="X98" s="6"/>
      <c r="Y98" s="6"/>
    </row>
    <row r="99" spans="1:25" hidden="1" outlineLevel="2" x14ac:dyDescent="0.3">
      <c r="A99" s="202" t="s">
        <v>159</v>
      </c>
      <c r="B99" s="154">
        <f t="shared" si="14"/>
        <v>94</v>
      </c>
      <c r="C99" s="10">
        <v>6002</v>
      </c>
      <c r="D99" s="10">
        <v>1</v>
      </c>
      <c r="E99" s="10">
        <v>3</v>
      </c>
      <c r="F99" s="1223">
        <v>136002</v>
      </c>
      <c r="G99" s="10" t="s">
        <v>124</v>
      </c>
      <c r="H99" s="13" t="s">
        <v>161</v>
      </c>
      <c r="I99" s="1212">
        <v>27000</v>
      </c>
      <c r="J99" s="1212">
        <v>27000</v>
      </c>
      <c r="K99" s="21">
        <f>VLOOKUP(Tabelle1[[#This Row],[Titel]],[2]Haushalt!$A:$S,19,FALSE)</f>
        <v>21000</v>
      </c>
      <c r="L99" s="21">
        <f>Stellenplan!V6</f>
        <v>27000</v>
      </c>
      <c r="M99" s="944">
        <f>VLOOKUP(Tabelle1[[#This Row],[Titel]],[3]Haushalt!$A$8:$W$282,8,FALSE)</f>
        <v>26512.5</v>
      </c>
      <c r="N99" s="21">
        <f>Stellenplan!P6</f>
        <v>27000</v>
      </c>
      <c r="O99" s="21">
        <f>Stellenplan!J6</f>
        <v>25000</v>
      </c>
      <c r="P99" s="751">
        <v>26775</v>
      </c>
      <c r="Q99" s="21"/>
      <c r="R99" s="21"/>
      <c r="S99" s="21">
        <f>HHJ_2022_2023!H32</f>
        <v>2275</v>
      </c>
      <c r="T99" s="21">
        <f>HHJ_2022_2023!J32</f>
        <v>4550</v>
      </c>
      <c r="U99" s="21">
        <f>HHJ_2022_2023!L32</f>
        <v>6650</v>
      </c>
      <c r="V99" s="14"/>
      <c r="Y99" s="6"/>
    </row>
    <row r="100" spans="1:25" hidden="1" outlineLevel="2" x14ac:dyDescent="0.3">
      <c r="A100" s="202" t="s">
        <v>162</v>
      </c>
      <c r="B100" s="154">
        <f t="shared" si="14"/>
        <v>95</v>
      </c>
      <c r="C100" s="10">
        <v>6120</v>
      </c>
      <c r="D100" s="10">
        <v>1</v>
      </c>
      <c r="E100" s="10">
        <v>3</v>
      </c>
      <c r="F100" s="1223">
        <v>136120</v>
      </c>
      <c r="G100" s="10" t="s">
        <v>163</v>
      </c>
      <c r="H100" s="13" t="s">
        <v>164</v>
      </c>
      <c r="I100" s="1212">
        <v>250</v>
      </c>
      <c r="J100" s="1212">
        <v>228.62</v>
      </c>
      <c r="K100" s="21">
        <f>VLOOKUP(Tabelle1[[#This Row],[Titel]],[2]Haushalt!$A:$S,19,FALSE)</f>
        <v>228.62</v>
      </c>
      <c r="L100" s="21">
        <f>Stellenplan!W6</f>
        <v>200</v>
      </c>
      <c r="M100" s="944">
        <f>VLOOKUP(Tabelle1[[#This Row],[Titel]],[3]Haushalt!$A$8:$W$282,8,FALSE)</f>
        <v>225.3</v>
      </c>
      <c r="N100" s="21">
        <f>Stellenplan!Q6</f>
        <v>200</v>
      </c>
      <c r="O100" s="21">
        <f>Stellenplan!K6</f>
        <v>185</v>
      </c>
      <c r="P100" s="751">
        <v>191.51</v>
      </c>
      <c r="Q100" s="21"/>
      <c r="R100" s="21"/>
      <c r="S100" s="21">
        <f>HHJ_2022_2023!H43</f>
        <v>0</v>
      </c>
      <c r="T100" s="21">
        <f>HHJ_2022_2023!J43</f>
        <v>0</v>
      </c>
      <c r="U100" s="21">
        <f>HHJ_2022_2023!L43</f>
        <v>0</v>
      </c>
      <c r="V100" s="14"/>
      <c r="X100" s="6"/>
      <c r="Y100" s="6"/>
    </row>
    <row r="101" spans="1:25" hidden="1" outlineLevel="1" collapsed="1" x14ac:dyDescent="0.3">
      <c r="B101" s="151">
        <f t="shared" si="14"/>
        <v>96</v>
      </c>
      <c r="C101"/>
      <c r="D101"/>
      <c r="E101"/>
      <c r="M101" s="33"/>
      <c r="Q101" s="14"/>
      <c r="R101" s="14"/>
      <c r="S101" s="14"/>
      <c r="T101" s="14"/>
      <c r="U101" s="14"/>
      <c r="V101" s="14"/>
      <c r="Y101" s="6"/>
    </row>
    <row r="102" spans="1:25" hidden="1" outlineLevel="1" x14ac:dyDescent="0.3">
      <c r="A102" s="201" t="s">
        <v>165</v>
      </c>
      <c r="B102" s="153">
        <f t="shared" si="14"/>
        <v>97</v>
      </c>
      <c r="C102" s="9"/>
      <c r="D102" s="9"/>
      <c r="E102" s="9"/>
      <c r="F102" s="1227"/>
      <c r="G102" s="9"/>
      <c r="H102" s="9" t="s">
        <v>166</v>
      </c>
      <c r="I102" s="20">
        <f>SUBTOTAL(9,I103:I107)</f>
        <v>296750</v>
      </c>
      <c r="J102" s="20">
        <f>SUBTOTAL(9,J103:J107)</f>
        <v>237084.96</v>
      </c>
      <c r="K102" s="20">
        <f>VLOOKUP(Tabelle1[[#This Row],[Titel]],[2]Haushalt!$A:$S,19,FALSE)</f>
        <v>190228.03</v>
      </c>
      <c r="L102" s="20">
        <f>SUBTOTAL(9,L103:L107)</f>
        <v>236495</v>
      </c>
      <c r="M102" s="752">
        <f>VLOOKUP(Tabelle1[[#This Row],[Titel]],[3]Haushalt!$A$8:$W$282,8,FALSE)</f>
        <v>196285.44000000003</v>
      </c>
      <c r="N102" s="20">
        <f>SUBTOTAL(9,N103:N107)</f>
        <v>220495</v>
      </c>
      <c r="O102" s="20">
        <f>SUBTOTAL(9,O103:O107)</f>
        <v>206500</v>
      </c>
      <c r="P102" s="939">
        <f>SUBTOTAL(9,P103:P107)</f>
        <v>187240.54</v>
      </c>
      <c r="Q102" s="20"/>
      <c r="R102" s="20"/>
      <c r="S102" s="752">
        <f>SUBTOTAL(9,S103:S107)</f>
        <v>15959.36</v>
      </c>
      <c r="T102" s="752">
        <f>SUBTOTAL(9,T103:T107)</f>
        <v>33709.03</v>
      </c>
      <c r="U102" s="752">
        <f>SUBTOTAL(9,U103:U107)</f>
        <v>43284.899999999994</v>
      </c>
      <c r="V102" s="14"/>
      <c r="X102" s="6"/>
      <c r="Y102" s="6"/>
    </row>
    <row r="103" spans="1:25" hidden="1" outlineLevel="2" x14ac:dyDescent="0.3">
      <c r="A103" s="202" t="s">
        <v>167</v>
      </c>
      <c r="B103" s="154">
        <f t="shared" si="14"/>
        <v>98</v>
      </c>
      <c r="C103" s="10">
        <v>6020</v>
      </c>
      <c r="D103" s="10">
        <v>1</v>
      </c>
      <c r="E103" s="10" t="s">
        <v>1493</v>
      </c>
      <c r="F103" s="1223">
        <v>146020</v>
      </c>
      <c r="G103" s="10" t="s">
        <v>168</v>
      </c>
      <c r="H103" s="13" t="s">
        <v>1525</v>
      </c>
      <c r="I103" s="1212">
        <v>230000</v>
      </c>
      <c r="J103" s="1212">
        <v>118000</v>
      </c>
      <c r="K103" s="21">
        <f>VLOOKUP(Tabelle1[[#This Row],[Titel]],[2]Haushalt!$A:$S,19,FALSE)</f>
        <v>92455.23</v>
      </c>
      <c r="L103" s="21">
        <f>Stellenplan!D79</f>
        <v>118000</v>
      </c>
      <c r="M103" s="944">
        <f>VLOOKUP(Tabelle1[[#This Row],[Titel]],[3]Haushalt!$A$8:$W$282,8,FALSE)</f>
        <v>93878.16</v>
      </c>
      <c r="N103" s="21">
        <f>Stellenplan!E79</f>
        <v>102000</v>
      </c>
      <c r="O103" s="21">
        <f>Stellenplan!F79</f>
        <v>92500</v>
      </c>
      <c r="P103" s="751">
        <v>90530.79</v>
      </c>
      <c r="Q103" s="21"/>
      <c r="R103" s="21"/>
      <c r="S103" s="21">
        <f>HHJ_2022_2023!H45+HHJ_2022_2023!H52</f>
        <v>7380.67</v>
      </c>
      <c r="T103" s="21">
        <f>HHJ_2022_2023!J45+HHJ_2022_2023!J52</f>
        <v>16443.93</v>
      </c>
      <c r="U103" s="21">
        <f>HHJ_2022_2023!L45+HHJ_2022_2023!L52</f>
        <v>22332.21</v>
      </c>
      <c r="V103" s="14"/>
      <c r="Y103" s="6"/>
    </row>
    <row r="104" spans="1:25" hidden="1" outlineLevel="2" x14ac:dyDescent="0.3">
      <c r="A104" s="202" t="s">
        <v>169</v>
      </c>
      <c r="B104" s="154">
        <f t="shared" si="14"/>
        <v>99</v>
      </c>
      <c r="C104" s="10">
        <v>6020</v>
      </c>
      <c r="D104" s="10">
        <v>1</v>
      </c>
      <c r="E104" s="10">
        <v>4</v>
      </c>
      <c r="F104" s="1223">
        <v>146020</v>
      </c>
      <c r="G104" s="10" t="s">
        <v>170</v>
      </c>
      <c r="H104" s="13" t="s">
        <v>1526</v>
      </c>
      <c r="I104" s="1212">
        <v>0</v>
      </c>
      <c r="J104" s="1212">
        <v>32000</v>
      </c>
      <c r="K104" s="21">
        <f>VLOOKUP(Tabelle1[[#This Row],[Titel]],[2]Haushalt!$A:$S,19,FALSE)</f>
        <v>25753.47</v>
      </c>
      <c r="L104" s="21">
        <f>Stellenplan!D80</f>
        <v>26000</v>
      </c>
      <c r="M104" s="944">
        <f>VLOOKUP(Tabelle1[[#This Row],[Titel]],[3]Haushalt!$A$8:$W$282,8,FALSE)</f>
        <v>25672.59</v>
      </c>
      <c r="N104" s="21">
        <f>Stellenplan!E80</f>
        <v>28000</v>
      </c>
      <c r="O104" s="21">
        <f>Stellenplan!F80</f>
        <v>26000</v>
      </c>
      <c r="P104" s="751">
        <v>20905.61</v>
      </c>
      <c r="Q104" s="21"/>
      <c r="R104" s="21"/>
      <c r="S104" s="21">
        <f>HHJ_2022_2023!H46</f>
        <v>2262.1</v>
      </c>
      <c r="T104" s="21">
        <f>HHJ_2022_2023!J46</f>
        <v>4128.1000000000004</v>
      </c>
      <c r="U104" s="21">
        <f>HHJ_2022_2023!L46</f>
        <v>7815.69</v>
      </c>
      <c r="V104" s="14"/>
      <c r="X104" s="6"/>
      <c r="Y104" s="6"/>
    </row>
    <row r="105" spans="1:25" hidden="1" outlineLevel="2" x14ac:dyDescent="0.3">
      <c r="A105" s="202" t="s">
        <v>171</v>
      </c>
      <c r="B105" s="154">
        <f t="shared" si="14"/>
        <v>100</v>
      </c>
      <c r="C105" s="10">
        <v>6110</v>
      </c>
      <c r="D105" s="10">
        <v>1</v>
      </c>
      <c r="E105" s="10">
        <v>4</v>
      </c>
      <c r="F105" s="1223">
        <v>146110</v>
      </c>
      <c r="G105" s="10" t="s">
        <v>172</v>
      </c>
      <c r="H105" s="13" t="s">
        <v>173</v>
      </c>
      <c r="I105" s="1212">
        <v>50000</v>
      </c>
      <c r="J105" s="1212">
        <v>74000</v>
      </c>
      <c r="K105" s="21">
        <f>VLOOKUP(Tabelle1[[#This Row],[Titel]],[2]Haushalt!$A:$S,19,FALSE)</f>
        <v>61046.55</v>
      </c>
      <c r="L105" s="21">
        <f>Stellenplan!D81</f>
        <v>77000</v>
      </c>
      <c r="M105" s="944">
        <f>VLOOKUP(Tabelle1[[#This Row],[Titel]],[3]Haushalt!$A$8:$W$282,8,FALSE)</f>
        <v>64594.26</v>
      </c>
      <c r="N105" s="21">
        <f>Stellenplan!E81</f>
        <v>75000</v>
      </c>
      <c r="O105" s="21">
        <f>Stellenplan!F81</f>
        <v>73000</v>
      </c>
      <c r="P105" s="751">
        <v>63085.8</v>
      </c>
      <c r="Q105" s="21"/>
      <c r="R105" s="21"/>
      <c r="S105" s="21">
        <f>HHJ_2022_2023!H47+HHJ_2022_2023!H53</f>
        <v>5328.13</v>
      </c>
      <c r="T105" s="21">
        <f>HHJ_2022_2023!J47+HHJ_2022_2023!J53</f>
        <v>10785.98</v>
      </c>
      <c r="U105" s="21">
        <f>HHJ_2022_2023!L47+HHJ_2022_2023!L53</f>
        <v>10785.98</v>
      </c>
      <c r="V105" s="14"/>
      <c r="Y105" s="6"/>
    </row>
    <row r="106" spans="1:25" hidden="1" outlineLevel="2" x14ac:dyDescent="0.3">
      <c r="A106" s="202" t="s">
        <v>174</v>
      </c>
      <c r="B106" s="154">
        <f t="shared" si="14"/>
        <v>101</v>
      </c>
      <c r="C106" s="10">
        <v>6140</v>
      </c>
      <c r="D106" s="10">
        <v>1</v>
      </c>
      <c r="E106" s="10">
        <v>4</v>
      </c>
      <c r="F106" s="1223">
        <v>146140</v>
      </c>
      <c r="G106" s="10" t="s">
        <v>175</v>
      </c>
      <c r="H106" s="13" t="s">
        <v>176</v>
      </c>
      <c r="I106" s="1212">
        <v>16000</v>
      </c>
      <c r="J106" s="1212">
        <v>12500</v>
      </c>
      <c r="K106" s="21">
        <f>VLOOKUP(Tabelle1[[#This Row],[Titel]],[2]Haushalt!$A:$S,19,FALSE)</f>
        <v>10387.82</v>
      </c>
      <c r="L106" s="21">
        <f>Stellenplan!D82</f>
        <v>15000</v>
      </c>
      <c r="M106" s="944">
        <f>VLOOKUP(Tabelle1[[#This Row],[Titel]],[3]Haushalt!$A$8:$W$282,8,FALSE)</f>
        <v>11668.73</v>
      </c>
      <c r="N106" s="21">
        <f>Stellenplan!E82</f>
        <v>15000</v>
      </c>
      <c r="O106" s="21">
        <f>Stellenplan!F82</f>
        <v>14500</v>
      </c>
      <c r="P106" s="751">
        <v>12261.25</v>
      </c>
      <c r="Q106" s="21"/>
      <c r="R106" s="21"/>
      <c r="S106" s="21">
        <f>HHJ_2022_2023!H48</f>
        <v>988.46</v>
      </c>
      <c r="T106" s="21">
        <f>HHJ_2022_2023!J48</f>
        <v>2351.02</v>
      </c>
      <c r="U106" s="21">
        <f>HHJ_2022_2023!L48</f>
        <v>2351.02</v>
      </c>
      <c r="V106" s="14"/>
      <c r="X106" s="6"/>
      <c r="Y106" s="6"/>
    </row>
    <row r="107" spans="1:25" hidden="1" outlineLevel="2" x14ac:dyDescent="0.3">
      <c r="A107" s="202" t="s">
        <v>177</v>
      </c>
      <c r="B107" s="154">
        <f t="shared" si="14"/>
        <v>102</v>
      </c>
      <c r="C107" s="10">
        <v>6120</v>
      </c>
      <c r="D107" s="10">
        <v>1</v>
      </c>
      <c r="E107" s="10">
        <v>4</v>
      </c>
      <c r="F107" s="1223">
        <v>146120</v>
      </c>
      <c r="G107" s="10" t="s">
        <v>178</v>
      </c>
      <c r="H107" s="13" t="s">
        <v>179</v>
      </c>
      <c r="I107" s="1212">
        <v>750</v>
      </c>
      <c r="J107" s="1212">
        <v>584.96</v>
      </c>
      <c r="K107" s="21">
        <f>VLOOKUP(Tabelle1[[#This Row],[Titel]],[2]Haushalt!$A:$S,19,FALSE)</f>
        <v>584.96</v>
      </c>
      <c r="L107" s="21">
        <v>495</v>
      </c>
      <c r="M107" s="944">
        <f>VLOOKUP(Tabelle1[[#This Row],[Titel]],[3]Haushalt!$A$8:$W$282,8,FALSE)</f>
        <v>471.7</v>
      </c>
      <c r="N107" s="21">
        <v>495</v>
      </c>
      <c r="O107" s="21">
        <v>500</v>
      </c>
      <c r="P107" s="751">
        <v>457.09</v>
      </c>
      <c r="Q107" s="21"/>
      <c r="R107" s="21"/>
      <c r="S107" s="21">
        <f>HHJ_2022_2023!H50</f>
        <v>0</v>
      </c>
      <c r="T107" s="21">
        <f>HHJ_2022_2023!J50</f>
        <v>0</v>
      </c>
      <c r="U107" s="21">
        <f>HHJ_2022_2023!L50</f>
        <v>0</v>
      </c>
      <c r="V107" s="14"/>
      <c r="Y107" s="6"/>
    </row>
    <row r="108" spans="1:25" hidden="1" outlineLevel="1" collapsed="1" x14ac:dyDescent="0.3">
      <c r="B108" s="151">
        <f t="shared" si="14"/>
        <v>103</v>
      </c>
      <c r="C108"/>
      <c r="D108"/>
      <c r="E108"/>
      <c r="M108" s="33"/>
      <c r="Q108" s="14"/>
      <c r="R108" s="14"/>
      <c r="S108" s="14"/>
      <c r="T108" s="14"/>
      <c r="U108" s="14"/>
      <c r="V108" s="14"/>
      <c r="X108" s="6"/>
      <c r="Y108" s="6"/>
    </row>
    <row r="109" spans="1:25" hidden="1" outlineLevel="1" x14ac:dyDescent="0.3">
      <c r="A109" s="201" t="s">
        <v>180</v>
      </c>
      <c r="B109" s="153">
        <f t="shared" si="14"/>
        <v>104</v>
      </c>
      <c r="C109" s="9"/>
      <c r="D109" s="9"/>
      <c r="E109" s="9"/>
      <c r="F109" s="1227"/>
      <c r="G109" s="9"/>
      <c r="H109" s="9" t="s">
        <v>181</v>
      </c>
      <c r="I109" s="20">
        <f>SUBTOTAL(9,I110:I113)</f>
        <v>11000</v>
      </c>
      <c r="J109" s="20">
        <f>SUBTOTAL(9,J110:J113)</f>
        <v>4700</v>
      </c>
      <c r="K109" s="20">
        <f>VLOOKUP(Tabelle1[[#This Row],[Titel]],[2]Haushalt!$A:$S,19,FALSE)</f>
        <v>351.2</v>
      </c>
      <c r="L109" s="20">
        <f>SUBTOTAL(9,L110:L113)</f>
        <v>4700</v>
      </c>
      <c r="M109" s="752">
        <f>VLOOKUP(Tabelle1[[#This Row],[Titel]],[3]Haushalt!$A$8:$W$282,8,FALSE)</f>
        <v>704.18</v>
      </c>
      <c r="N109" s="20">
        <f>SUBTOTAL(9,N110:N113)</f>
        <v>4700</v>
      </c>
      <c r="O109" s="20">
        <f>SUBTOTAL(9,O110:O113)</f>
        <v>4800</v>
      </c>
      <c r="P109" s="939">
        <f>SUBTOTAL(9,P110:P113)</f>
        <v>199</v>
      </c>
      <c r="Q109" s="20"/>
      <c r="R109" s="20"/>
      <c r="S109" s="752">
        <f>SUBTOTAL(9,S110:S113)</f>
        <v>164.86</v>
      </c>
      <c r="T109" s="752">
        <f>SUBTOTAL(9,T110:T113)</f>
        <v>254.86</v>
      </c>
      <c r="U109" s="752">
        <f>SUBTOTAL(9,U110:U113)</f>
        <v>254.86</v>
      </c>
      <c r="V109" s="14"/>
      <c r="Y109" s="6"/>
    </row>
    <row r="110" spans="1:25" hidden="1" outlineLevel="2" x14ac:dyDescent="0.3">
      <c r="A110" s="202" t="s">
        <v>182</v>
      </c>
      <c r="B110" s="154">
        <f t="shared" si="14"/>
        <v>105</v>
      </c>
      <c r="C110" s="10">
        <v>6821</v>
      </c>
      <c r="D110" s="10">
        <v>1</v>
      </c>
      <c r="E110" s="10">
        <v>4</v>
      </c>
      <c r="F110" s="1223">
        <v>146821</v>
      </c>
      <c r="G110" s="10" t="s">
        <v>183</v>
      </c>
      <c r="H110" s="10" t="s">
        <v>184</v>
      </c>
      <c r="I110" s="1212">
        <v>8000</v>
      </c>
      <c r="J110" s="1212">
        <v>3000</v>
      </c>
      <c r="K110" s="21">
        <f>VLOOKUP(Tabelle1[[#This Row],[Titel]],[2]Haushalt!$A:$S,19,FALSE)</f>
        <v>0</v>
      </c>
      <c r="L110" s="21">
        <v>1500</v>
      </c>
      <c r="M110" s="940">
        <f>VLOOKUP(Tabelle1[[#This Row],[Titel]],[3]Haushalt!$A$8:$W$282,8,FALSE)</f>
        <v>150.31</v>
      </c>
      <c r="N110" s="21">
        <v>1500</v>
      </c>
      <c r="O110" s="21">
        <v>1500</v>
      </c>
      <c r="P110" s="751">
        <v>0</v>
      </c>
      <c r="Q110" s="21"/>
      <c r="R110" s="21"/>
      <c r="S110" s="21">
        <f>HHJ_2022_2023!H82</f>
        <v>104.86</v>
      </c>
      <c r="T110" s="21">
        <f>HHJ_2022_2023!J82</f>
        <v>104.86</v>
      </c>
      <c r="U110" s="21">
        <f>HHJ_2022_2023!L82</f>
        <v>104.86</v>
      </c>
      <c r="V110" s="14"/>
      <c r="X110" s="6"/>
      <c r="Y110" s="6"/>
    </row>
    <row r="111" spans="1:25" hidden="1" outlineLevel="2" x14ac:dyDescent="0.3">
      <c r="A111" s="202" t="s">
        <v>185</v>
      </c>
      <c r="B111" s="154">
        <f t="shared" si="14"/>
        <v>106</v>
      </c>
      <c r="C111" s="10">
        <v>6821</v>
      </c>
      <c r="D111" s="10">
        <v>1</v>
      </c>
      <c r="E111" s="10">
        <v>3</v>
      </c>
      <c r="F111" s="1223">
        <v>136821</v>
      </c>
      <c r="G111" s="10" t="s">
        <v>186</v>
      </c>
      <c r="H111" s="10" t="s">
        <v>46</v>
      </c>
      <c r="I111" s="1212">
        <v>1000</v>
      </c>
      <c r="J111" s="1212">
        <v>1000</v>
      </c>
      <c r="K111" s="21">
        <f>VLOOKUP(Tabelle1[[#This Row],[Titel]],[2]Haushalt!$A:$S,19,FALSE)</f>
        <v>309</v>
      </c>
      <c r="L111" s="21">
        <v>1000</v>
      </c>
      <c r="M111" s="940">
        <f>VLOOKUP(Tabelle1[[#This Row],[Titel]],[3]Haushalt!$A$8:$W$282,8,FALSE)</f>
        <v>487.47</v>
      </c>
      <c r="N111" s="21">
        <v>1000</v>
      </c>
      <c r="O111" s="21">
        <v>1000</v>
      </c>
      <c r="P111" s="751">
        <v>199</v>
      </c>
      <c r="Q111" s="21"/>
      <c r="R111" s="21"/>
      <c r="S111" s="21">
        <f>HHJ_2022_2023!H84</f>
        <v>60</v>
      </c>
      <c r="T111" s="21">
        <f>HHJ_2022_2023!J84</f>
        <v>150</v>
      </c>
      <c r="U111" s="21">
        <f>HHJ_2022_2023!L84</f>
        <v>150</v>
      </c>
      <c r="V111" s="14"/>
      <c r="Y111" s="6"/>
    </row>
    <row r="112" spans="1:25" hidden="1" outlineLevel="2" x14ac:dyDescent="0.3">
      <c r="A112" s="202" t="s">
        <v>187</v>
      </c>
      <c r="B112" s="154">
        <f t="shared" si="14"/>
        <v>107</v>
      </c>
      <c r="C112" s="10">
        <v>6821</v>
      </c>
      <c r="D112" s="10">
        <v>1</v>
      </c>
      <c r="E112" s="10">
        <v>1</v>
      </c>
      <c r="F112" s="1223">
        <v>116821</v>
      </c>
      <c r="G112" s="10" t="s">
        <v>188</v>
      </c>
      <c r="H112" s="10" t="s">
        <v>189</v>
      </c>
      <c r="I112" s="1212">
        <v>1000</v>
      </c>
      <c r="J112" s="1212">
        <v>500</v>
      </c>
      <c r="K112" s="21">
        <f>VLOOKUP(Tabelle1[[#This Row],[Titel]],[2]Haushalt!$A:$S,19,FALSE)</f>
        <v>0</v>
      </c>
      <c r="L112" s="21">
        <v>1500</v>
      </c>
      <c r="M112" s="940">
        <f>VLOOKUP(Tabelle1[[#This Row],[Titel]],[3]Haushalt!$A$8:$W$282,8,FALSE)</f>
        <v>0</v>
      </c>
      <c r="N112" s="21">
        <v>1500</v>
      </c>
      <c r="O112" s="21">
        <v>1500</v>
      </c>
      <c r="P112" s="751">
        <v>0</v>
      </c>
      <c r="Q112" s="21"/>
      <c r="R112" s="21"/>
      <c r="S112" s="21">
        <f>HHJ_2022_2023!H83</f>
        <v>0</v>
      </c>
      <c r="T112" s="21">
        <f>HHJ_2022_2023!J83</f>
        <v>0</v>
      </c>
      <c r="U112" s="21">
        <f>HHJ_2022_2023!L83</f>
        <v>0</v>
      </c>
      <c r="V112" s="14"/>
      <c r="X112" s="6"/>
      <c r="Y112" s="6"/>
    </row>
    <row r="113" spans="1:25" hidden="1" outlineLevel="2" x14ac:dyDescent="0.3">
      <c r="A113" s="202" t="s">
        <v>190</v>
      </c>
      <c r="B113" s="154">
        <f t="shared" si="14"/>
        <v>108</v>
      </c>
      <c r="C113" s="10">
        <v>6850</v>
      </c>
      <c r="D113" s="10">
        <v>1</v>
      </c>
      <c r="E113" s="10">
        <v>4</v>
      </c>
      <c r="F113" s="1223">
        <v>146850</v>
      </c>
      <c r="G113" s="10" t="s">
        <v>1197</v>
      </c>
      <c r="H113" s="10" t="s">
        <v>191</v>
      </c>
      <c r="I113" s="1212">
        <v>1000</v>
      </c>
      <c r="J113" s="1212">
        <v>200</v>
      </c>
      <c r="K113" s="21">
        <f>VLOOKUP(Tabelle1[[#This Row],[Titel]],[2]Haushalt!$A:$S,19,FALSE)</f>
        <v>42.2</v>
      </c>
      <c r="L113" s="21">
        <v>700</v>
      </c>
      <c r="M113" s="940">
        <f>VLOOKUP(Tabelle1[[#This Row],[Titel]],[3]Haushalt!$A$8:$W$282,8,FALSE)</f>
        <v>66.400000000000006</v>
      </c>
      <c r="N113" s="21">
        <v>700</v>
      </c>
      <c r="O113" s="21">
        <v>800</v>
      </c>
      <c r="P113" s="751">
        <v>0</v>
      </c>
      <c r="Q113" s="21"/>
      <c r="R113" s="21"/>
      <c r="S113" s="21">
        <f>HHJ_2022_2023!H42+HHJ_2022_2023!H49+HHJ_2022_2023!H91+HHJ_2022_2023!H92+HHJ_2022_2023!H93</f>
        <v>0</v>
      </c>
      <c r="T113" s="21">
        <f>HHJ_2022_2023!J42+HHJ_2022_2023!J49+HHJ_2022_2023!J91+HHJ_2022_2023!J92+HHJ_2022_2023!J93</f>
        <v>0</v>
      </c>
      <c r="U113" s="21">
        <f>HHJ_2022_2023!L42+HHJ_2022_2023!L49+HHJ_2022_2023!L91+HHJ_2022_2023!L92+HHJ_2022_2023!L93</f>
        <v>0</v>
      </c>
      <c r="V113" s="14"/>
      <c r="Y113" s="6"/>
    </row>
    <row r="114" spans="1:25" hidden="1" outlineLevel="1" collapsed="1" x14ac:dyDescent="0.3">
      <c r="B114" s="151">
        <f t="shared" si="14"/>
        <v>109</v>
      </c>
      <c r="C114"/>
      <c r="D114"/>
      <c r="E114"/>
      <c r="M114" s="33"/>
      <c r="Q114" s="14"/>
      <c r="R114" s="14"/>
      <c r="S114" s="14"/>
      <c r="T114" s="14"/>
      <c r="U114" s="14"/>
      <c r="V114" s="14"/>
      <c r="X114" s="6"/>
      <c r="Y114" s="6"/>
    </row>
    <row r="115" spans="1:25" collapsed="1" x14ac:dyDescent="0.3">
      <c r="B115" s="151">
        <f t="shared" si="14"/>
        <v>110</v>
      </c>
      <c r="C115"/>
      <c r="D115"/>
      <c r="E115"/>
      <c r="M115" s="33"/>
      <c r="Q115" s="14"/>
      <c r="R115" s="14"/>
      <c r="S115" s="14"/>
      <c r="T115" s="14"/>
      <c r="U115" s="14"/>
      <c r="V115" s="14"/>
      <c r="Y115" s="6"/>
    </row>
    <row r="116" spans="1:25" x14ac:dyDescent="0.3">
      <c r="A116" s="158" t="s">
        <v>192</v>
      </c>
      <c r="B116" s="152">
        <f t="shared" si="14"/>
        <v>111</v>
      </c>
      <c r="C116" s="8"/>
      <c r="D116" s="8"/>
      <c r="E116" s="8"/>
      <c r="F116" s="1226"/>
      <c r="G116" s="8"/>
      <c r="H116" s="8" t="s">
        <v>193</v>
      </c>
      <c r="I116" s="19">
        <f>SUBTOTAL(9,I118:I247)</f>
        <v>841000</v>
      </c>
      <c r="J116" s="19">
        <f>SUBTOTAL(9,J118:J247)</f>
        <v>288200</v>
      </c>
      <c r="K116" s="19">
        <f>VLOOKUP(Tabelle1[[#This Row],[Titel]],[2]Haushalt!$A:$S,19,FALSE)</f>
        <v>144395.87</v>
      </c>
      <c r="L116" s="19">
        <f>SUBTOTAL(9,L118:L247)</f>
        <v>827001</v>
      </c>
      <c r="M116" s="942">
        <f>VLOOKUP(Tabelle1[[#This Row],[Titel]],[3]Haushalt!$A$8:$W$282,8,FALSE)</f>
        <v>187682.13</v>
      </c>
      <c r="N116" s="19">
        <f>SUBTOTAL(9,N118:N247)</f>
        <v>830147.28</v>
      </c>
      <c r="O116" s="19">
        <f>SUBTOTAL(9,O118:O247)</f>
        <v>725320</v>
      </c>
      <c r="P116" s="19">
        <f>SUBTOTAL(9,P118:P247)</f>
        <v>553204.80000000005</v>
      </c>
      <c r="Q116" s="19"/>
      <c r="R116" s="19"/>
      <c r="S116" s="19">
        <f>SUBTOTAL(9,S118:S247)</f>
        <v>5265.57</v>
      </c>
      <c r="T116" s="19">
        <f>SUBTOTAL(9,T118:T247)</f>
        <v>22947.539999999997</v>
      </c>
      <c r="U116" s="19">
        <f>SUBTOTAL(9,U118:U247)</f>
        <v>28648.979999999996</v>
      </c>
      <c r="V116" s="14"/>
      <c r="X116" s="6"/>
      <c r="Y116" s="6"/>
    </row>
    <row r="117" spans="1:25" outlineLevel="1" x14ac:dyDescent="0.3">
      <c r="A117" s="201" t="s">
        <v>194</v>
      </c>
      <c r="B117" s="153">
        <f t="shared" si="14"/>
        <v>112</v>
      </c>
      <c r="C117" s="9"/>
      <c r="D117" s="9"/>
      <c r="E117" s="9"/>
      <c r="F117" s="1227"/>
      <c r="G117" s="9"/>
      <c r="H117" s="9" t="s">
        <v>195</v>
      </c>
      <c r="I117" s="20">
        <f>SUBTOTAL(9,I118:I125)</f>
        <v>24650</v>
      </c>
      <c r="J117" s="20">
        <f>SUBTOTAL(9,J118:J125)</f>
        <v>18950</v>
      </c>
      <c r="K117" s="20">
        <f>VLOOKUP(Tabelle1[[#This Row],[Titel]],[2]Haushalt!$A:$S,19,FALSE)</f>
        <v>10868.774000000001</v>
      </c>
      <c r="L117" s="20">
        <f>SUBTOTAL(9,L118:L125)</f>
        <v>19685</v>
      </c>
      <c r="M117" s="752">
        <f>VLOOKUP(Tabelle1[[#This Row],[Titel]],[3]Haushalt!$A$8:$W$282,8,FALSE)</f>
        <v>14506.83</v>
      </c>
      <c r="N117" s="20">
        <f>SUBTOTAL(9,N118:N125)</f>
        <v>17532.28</v>
      </c>
      <c r="O117" s="20">
        <f>SUBTOTAL(9,O118:O125)</f>
        <v>13510</v>
      </c>
      <c r="P117" s="20">
        <f>SUBTOTAL(9,P118:P125)</f>
        <v>13208.32</v>
      </c>
      <c r="Q117" s="20"/>
      <c r="R117" s="20"/>
      <c r="S117" s="20">
        <f>SUBTOTAL(9,S118:S125)</f>
        <v>514.53399999999999</v>
      </c>
      <c r="T117" s="20">
        <f>SUBTOTAL(9,T118:T125)</f>
        <v>1520.694</v>
      </c>
      <c r="U117" s="20">
        <f>SUBTOTAL(9,U118:U125)</f>
        <v>2282.694</v>
      </c>
      <c r="V117" s="14"/>
      <c r="Y117" s="6"/>
    </row>
    <row r="118" spans="1:25" outlineLevel="2" x14ac:dyDescent="0.3">
      <c r="A118" s="202" t="s">
        <v>196</v>
      </c>
      <c r="B118" s="154">
        <f t="shared" si="14"/>
        <v>113</v>
      </c>
      <c r="C118" s="10" t="s">
        <v>1484</v>
      </c>
      <c r="D118" s="10">
        <v>1</v>
      </c>
      <c r="E118" s="10">
        <v>3</v>
      </c>
      <c r="F118" s="1223"/>
      <c r="G118" s="10" t="s">
        <v>197</v>
      </c>
      <c r="H118" s="10" t="s">
        <v>198</v>
      </c>
      <c r="I118" s="1212">
        <v>3500</v>
      </c>
      <c r="J118" s="1212">
        <v>3000</v>
      </c>
      <c r="K118" s="21">
        <f>VLOOKUP(Tabelle1[[#This Row],[Titel]],[2]Haushalt!$A:$S,19,FALSE)</f>
        <v>1284.01</v>
      </c>
      <c r="L118" s="1074">
        <v>3000</v>
      </c>
      <c r="M118" s="940">
        <f>VLOOKUP(Tabelle1[[#This Row],[Titel]],[3]Haushalt!$A$8:$W$282,8,FALSE)</f>
        <v>1919.29</v>
      </c>
      <c r="N118" s="21">
        <v>2000</v>
      </c>
      <c r="O118" s="21">
        <v>1610</v>
      </c>
      <c r="P118" s="751">
        <v>953.35</v>
      </c>
      <c r="Q118" s="21"/>
      <c r="R118" s="21"/>
      <c r="S118" s="21">
        <f>HHJ_2022_2023!H59+HHJ_2022_2023!H61+HHJ_2022_2023!H79+HHJ_2022_2023!H80</f>
        <v>0</v>
      </c>
      <c r="T118" s="21">
        <f>HHJ_2022_2023!J59+HHJ_2022_2023!J61+HHJ_2022_2023!J79+HHJ_2022_2023!J80</f>
        <v>221.19</v>
      </c>
      <c r="U118" s="21">
        <f>HHJ_2022_2023!L59+HHJ_2022_2023!L61+HHJ_2022_2023!L79+HHJ_2022_2023!L80</f>
        <v>919.73</v>
      </c>
      <c r="V118" s="14"/>
      <c r="X118" s="6"/>
      <c r="Y118" s="6"/>
    </row>
    <row r="119" spans="1:25" outlineLevel="2" x14ac:dyDescent="0.3">
      <c r="A119" s="202" t="s">
        <v>199</v>
      </c>
      <c r="B119" s="154">
        <f t="shared" si="14"/>
        <v>114</v>
      </c>
      <c r="C119" s="10">
        <v>6301</v>
      </c>
      <c r="D119" s="10">
        <v>1</v>
      </c>
      <c r="E119" s="10">
        <v>3</v>
      </c>
      <c r="F119" s="1223"/>
      <c r="G119" s="10" t="s">
        <v>1219</v>
      </c>
      <c r="H119" s="10" t="s">
        <v>200</v>
      </c>
      <c r="I119" s="1212">
        <v>1500</v>
      </c>
      <c r="J119" s="1212">
        <v>1500</v>
      </c>
      <c r="K119" s="21">
        <f>VLOOKUP(Tabelle1[[#This Row],[Titel]],[2]Haushalt!$A:$S,19,FALSE)</f>
        <v>343.48</v>
      </c>
      <c r="L119" s="1074">
        <v>1500</v>
      </c>
      <c r="M119" s="940">
        <f>VLOOKUP(Tabelle1[[#This Row],[Titel]],[3]Haushalt!$A$8:$W$282,8,FALSE)</f>
        <v>931.79</v>
      </c>
      <c r="N119" s="21">
        <v>800</v>
      </c>
      <c r="O119" s="21">
        <v>550</v>
      </c>
      <c r="P119" s="751">
        <v>322.83999999999997</v>
      </c>
      <c r="Q119" s="21"/>
      <c r="R119" s="21"/>
      <c r="S119" s="21">
        <f>HHJ_2022_2023!H57+HHJ_2022_2023!H62</f>
        <v>0</v>
      </c>
      <c r="T119" s="21">
        <f>HHJ_2022_2023!J57+HHJ_2022_2023!J62</f>
        <v>0</v>
      </c>
      <c r="U119" s="21">
        <f>HHJ_2022_2023!L57+HHJ_2022_2023!L62</f>
        <v>0</v>
      </c>
      <c r="V119" s="14"/>
      <c r="Y119" s="6"/>
    </row>
    <row r="120" spans="1:25" outlineLevel="2" x14ac:dyDescent="0.3">
      <c r="A120" s="202" t="s">
        <v>201</v>
      </c>
      <c r="B120" s="154">
        <f t="shared" si="14"/>
        <v>115</v>
      </c>
      <c r="C120" s="10">
        <v>6301</v>
      </c>
      <c r="D120" s="10">
        <v>1</v>
      </c>
      <c r="E120" s="10">
        <v>3</v>
      </c>
      <c r="F120" s="1223"/>
      <c r="G120" s="10" t="s">
        <v>202</v>
      </c>
      <c r="H120" s="10" t="s">
        <v>203</v>
      </c>
      <c r="I120" s="1212">
        <v>500</v>
      </c>
      <c r="J120" s="1212">
        <v>300</v>
      </c>
      <c r="K120" s="21">
        <f>VLOOKUP(Tabelle1[[#This Row],[Titel]],[2]Haushalt!$A:$S,19,FALSE)</f>
        <v>119.05</v>
      </c>
      <c r="L120" s="1074">
        <v>535</v>
      </c>
      <c r="M120" s="940">
        <f>VLOOKUP(Tabelle1[[#This Row],[Titel]],[3]Haushalt!$A$8:$W$282,8,FALSE)</f>
        <v>267.55</v>
      </c>
      <c r="N120" s="21">
        <v>602.28</v>
      </c>
      <c r="O120" s="21">
        <v>350</v>
      </c>
      <c r="P120" s="751">
        <v>332.2</v>
      </c>
      <c r="Q120" s="21"/>
      <c r="R120" s="21"/>
      <c r="S120" s="21">
        <f>HHJ_2022_2023!H64</f>
        <v>0</v>
      </c>
      <c r="T120" s="21">
        <f>HHJ_2022_2023!J64</f>
        <v>0</v>
      </c>
      <c r="U120" s="21">
        <f>HHJ_2022_2023!L64</f>
        <v>0</v>
      </c>
      <c r="V120" s="14"/>
      <c r="X120" s="6"/>
      <c r="Y120" s="6"/>
    </row>
    <row r="121" spans="1:25" outlineLevel="2" x14ac:dyDescent="0.3">
      <c r="A121" s="202" t="s">
        <v>204</v>
      </c>
      <c r="B121" s="154">
        <f t="shared" si="14"/>
        <v>116</v>
      </c>
      <c r="C121" s="10">
        <v>6301</v>
      </c>
      <c r="D121" s="10">
        <v>2</v>
      </c>
      <c r="E121" s="10">
        <v>3</v>
      </c>
      <c r="F121" s="1223"/>
      <c r="G121" s="10" t="s">
        <v>205</v>
      </c>
      <c r="H121" s="10" t="s">
        <v>206</v>
      </c>
      <c r="I121" s="1212">
        <v>700</v>
      </c>
      <c r="J121" s="1212">
        <v>700</v>
      </c>
      <c r="K121" s="21">
        <f>VLOOKUP(Tabelle1[[#This Row],[Titel]],[2]Haushalt!$A:$S,19,FALSE)</f>
        <v>563.20000000000005</v>
      </c>
      <c r="L121" s="1074">
        <v>800</v>
      </c>
      <c r="M121" s="940">
        <f>VLOOKUP(Tabelle1[[#This Row],[Titel]],[3]Haushalt!$A$8:$W$282,8,FALSE)</f>
        <v>672.6</v>
      </c>
      <c r="N121" s="21">
        <v>1200</v>
      </c>
      <c r="O121" s="21">
        <v>600</v>
      </c>
      <c r="P121" s="751">
        <v>1915.76</v>
      </c>
      <c r="Q121" s="21"/>
      <c r="R121" s="21"/>
      <c r="S121" s="21">
        <f>HHJ_2022_2023!H58</f>
        <v>49.9</v>
      </c>
      <c r="T121" s="21">
        <f>HHJ_2022_2023!J58</f>
        <v>99.8</v>
      </c>
      <c r="U121" s="21">
        <f>HHJ_2022_2023!L58</f>
        <v>99.8</v>
      </c>
      <c r="V121" s="14"/>
      <c r="Y121" s="6"/>
    </row>
    <row r="122" spans="1:25" outlineLevel="2" x14ac:dyDescent="0.3">
      <c r="A122" s="202" t="s">
        <v>207</v>
      </c>
      <c r="B122" s="154">
        <f>ROW(B118)</f>
        <v>118</v>
      </c>
      <c r="C122" s="10">
        <v>6301</v>
      </c>
      <c r="D122" s="10">
        <v>1</v>
      </c>
      <c r="E122" s="10">
        <v>3</v>
      </c>
      <c r="F122" s="1223"/>
      <c r="G122" s="10" t="s">
        <v>208</v>
      </c>
      <c r="H122" s="10" t="s">
        <v>209</v>
      </c>
      <c r="I122" s="1212">
        <v>700</v>
      </c>
      <c r="J122" s="1212">
        <v>700</v>
      </c>
      <c r="K122" s="21">
        <f>VLOOKUP(Tabelle1[[#This Row],[Titel]],[2]Haushalt!$A:$S,19,FALSE)</f>
        <v>564.08999999999992</v>
      </c>
      <c r="L122" s="1074">
        <v>800</v>
      </c>
      <c r="M122" s="940">
        <f>VLOOKUP(Tabelle1[[#This Row],[Titel]],[3]Haushalt!$A$8:$W$282,8,FALSE)</f>
        <v>691.87</v>
      </c>
      <c r="N122" s="21">
        <v>800</v>
      </c>
      <c r="O122" s="21">
        <v>700</v>
      </c>
      <c r="P122" s="751">
        <v>648.78</v>
      </c>
      <c r="Q122" s="21"/>
      <c r="R122" s="21"/>
      <c r="S122" s="21">
        <f>HHJ_2022_2023!H66+HHJ_2022_2023!H67</f>
        <v>53.790000000000006</v>
      </c>
      <c r="T122" s="21">
        <f>HHJ_2022_2023!J66+HHJ_2022_2023!J67</f>
        <v>110.33000000000001</v>
      </c>
      <c r="U122" s="21">
        <f>HHJ_2022_2023!L66+HHJ_2022_2023!L67</f>
        <v>166.66000000000003</v>
      </c>
      <c r="V122" s="14"/>
      <c r="X122" s="6"/>
      <c r="Y122" s="6"/>
    </row>
    <row r="123" spans="1:25" outlineLevel="2" x14ac:dyDescent="0.3">
      <c r="A123" s="202" t="s">
        <v>210</v>
      </c>
      <c r="B123" s="154">
        <f>ROW(B119)</f>
        <v>119</v>
      </c>
      <c r="C123" s="10">
        <v>5980</v>
      </c>
      <c r="D123" s="10">
        <v>1</v>
      </c>
      <c r="E123" s="10">
        <v>3</v>
      </c>
      <c r="F123" s="1223"/>
      <c r="G123" s="10" t="s">
        <v>211</v>
      </c>
      <c r="H123" s="13" t="s">
        <v>212</v>
      </c>
      <c r="I123" s="1212">
        <v>10000</v>
      </c>
      <c r="J123" s="1212">
        <v>5000</v>
      </c>
      <c r="K123" s="21">
        <f>VLOOKUP(Tabelle1[[#This Row],[Titel]],[2]Haushalt!$A:$S,19,FALSE)</f>
        <v>2893.41</v>
      </c>
      <c r="L123" s="1074">
        <f>Tabelle177[[#Totals],[Beträge/Budget]]</f>
        <v>5300</v>
      </c>
      <c r="M123" s="944">
        <f>VLOOKUP(Tabelle1[[#This Row],[Titel]],[3]Haushalt!$A$8:$W$282,8,FALSE)</f>
        <v>3744.7</v>
      </c>
      <c r="N123" s="21">
        <f>Tabelle17[[#Totals],[Beträge/Budget]]</f>
        <v>4080</v>
      </c>
      <c r="O123" s="21">
        <v>3500</v>
      </c>
      <c r="P123" s="751">
        <v>2552.9699999999998</v>
      </c>
      <c r="Q123" s="21"/>
      <c r="R123" s="21"/>
      <c r="S123" s="21">
        <f>HHJ_2022_2023!H69</f>
        <v>0</v>
      </c>
      <c r="T123" s="21">
        <f>HHJ_2022_2023!J69</f>
        <v>225.29</v>
      </c>
      <c r="U123" s="21">
        <f>HHJ_2022_2023!L69</f>
        <v>225.29</v>
      </c>
      <c r="V123" s="14"/>
      <c r="Y123" s="6"/>
    </row>
    <row r="124" spans="1:25" outlineLevel="2" x14ac:dyDescent="0.3">
      <c r="A124" s="202" t="s">
        <v>213</v>
      </c>
      <c r="B124" s="154">
        <f>ROW(B120)</f>
        <v>120</v>
      </c>
      <c r="C124" s="10">
        <v>6300</v>
      </c>
      <c r="D124" s="10">
        <v>1</v>
      </c>
      <c r="E124" s="10">
        <v>3</v>
      </c>
      <c r="F124" s="1223"/>
      <c r="G124" s="10" t="s">
        <v>214</v>
      </c>
      <c r="H124" s="10" t="s">
        <v>215</v>
      </c>
      <c r="I124" s="1212">
        <v>300</v>
      </c>
      <c r="J124" s="1212">
        <v>300</v>
      </c>
      <c r="K124" s="21">
        <f>VLOOKUP(Tabelle1[[#This Row],[Titel]],[2]Haushalt!$A:$S,19,FALSE)</f>
        <v>151</v>
      </c>
      <c r="L124" s="1074">
        <v>300</v>
      </c>
      <c r="M124" s="940">
        <f>VLOOKUP(Tabelle1[[#This Row],[Titel]],[3]Haushalt!$A$8:$W$282,8,FALSE)</f>
        <v>111.45</v>
      </c>
      <c r="N124" s="21">
        <v>100</v>
      </c>
      <c r="O124" s="21">
        <v>100</v>
      </c>
      <c r="P124" s="751">
        <v>0</v>
      </c>
      <c r="Q124" s="21"/>
      <c r="R124" s="21"/>
      <c r="S124" s="21">
        <f>HHJ_2022_2023!H60+HHJ_2022_2023!H63</f>
        <v>0</v>
      </c>
      <c r="T124" s="21">
        <f>HHJ_2022_2023!J60+HHJ_2022_2023!J63</f>
        <v>0</v>
      </c>
      <c r="U124" s="21">
        <f>HHJ_2022_2023!L60+HHJ_2022_2023!L63</f>
        <v>0</v>
      </c>
      <c r="V124" s="14"/>
      <c r="X124" s="6"/>
      <c r="Y124" s="6"/>
    </row>
    <row r="125" spans="1:25" outlineLevel="2" x14ac:dyDescent="0.3">
      <c r="A125" s="202" t="s">
        <v>216</v>
      </c>
      <c r="B125" s="154">
        <f>ROW(B121)</f>
        <v>121</v>
      </c>
      <c r="C125" s="10">
        <v>5980</v>
      </c>
      <c r="D125" s="10">
        <v>1</v>
      </c>
      <c r="E125" s="10">
        <v>3</v>
      </c>
      <c r="F125" s="1223"/>
      <c r="G125" s="10" t="s">
        <v>217</v>
      </c>
      <c r="H125" s="13" t="s">
        <v>218</v>
      </c>
      <c r="I125" s="1212">
        <v>7450</v>
      </c>
      <c r="J125" s="1212">
        <v>7450</v>
      </c>
      <c r="K125" s="21">
        <f>VLOOKUP(Tabelle1[[#This Row],[Titel]],[2]Haushalt!$A:$S,19,FALSE)</f>
        <v>4950.5340000000006</v>
      </c>
      <c r="L125" s="1074">
        <f>Tabelle166[[#Totals],[Beträge/Budget]]</f>
        <v>7450</v>
      </c>
      <c r="M125" s="944">
        <f>VLOOKUP(Tabelle1[[#This Row],[Titel]],[3]Haushalt!$A$8:$W$282,8,FALSE)</f>
        <v>6167.58</v>
      </c>
      <c r="N125" s="21">
        <f>Tabelle16[[#Totals],[Beträge/Budget]]</f>
        <v>7950</v>
      </c>
      <c r="O125" s="21">
        <v>6100</v>
      </c>
      <c r="P125" s="751">
        <v>6482.42</v>
      </c>
      <c r="Q125" s="21"/>
      <c r="R125" s="21"/>
      <c r="S125" s="21">
        <f>(HHJ_2022_2023!H75*0.4)+HHJ_2022_2023!H68</f>
        <v>410.84399999999999</v>
      </c>
      <c r="T125" s="21">
        <f>(HHJ_2022_2023!J75*0.4)+HHJ_2022_2023!J68</f>
        <v>864.08400000000006</v>
      </c>
      <c r="U125" s="21">
        <f>(HHJ_2022_2023!L75*0.4)+HHJ_2022_2023!L68</f>
        <v>871.21400000000006</v>
      </c>
      <c r="V125" s="14"/>
      <c r="Y125" s="6"/>
    </row>
    <row r="126" spans="1:25" outlineLevel="1" x14ac:dyDescent="0.3">
      <c r="B126" s="151" t="e">
        <f>ROW(#REF!)</f>
        <v>#REF!</v>
      </c>
      <c r="C126"/>
      <c r="D126"/>
      <c r="E126"/>
      <c r="M126" s="33"/>
      <c r="Q126" s="14"/>
      <c r="R126" s="14"/>
      <c r="S126" s="14"/>
      <c r="T126" s="14"/>
      <c r="U126" s="14"/>
      <c r="V126" s="14"/>
      <c r="X126" s="6"/>
      <c r="Y126" s="6"/>
    </row>
    <row r="127" spans="1:25" outlineLevel="1" x14ac:dyDescent="0.3">
      <c r="A127" s="201" t="s">
        <v>219</v>
      </c>
      <c r="B127" s="153">
        <f t="shared" si="14"/>
        <v>122</v>
      </c>
      <c r="C127" s="9"/>
      <c r="D127" s="9"/>
      <c r="E127" s="9"/>
      <c r="F127" s="1227"/>
      <c r="G127" s="9"/>
      <c r="H127" s="9" t="s">
        <v>220</v>
      </c>
      <c r="I127" s="20">
        <f>SUBTOTAL(9,I128:I130)</f>
        <v>31000</v>
      </c>
      <c r="J127" s="20">
        <f>SUBTOTAL(9,J128:J130)</f>
        <v>26000</v>
      </c>
      <c r="K127" s="20">
        <f>VLOOKUP(Tabelle1[[#This Row],[Titel]],[2]Haushalt!$A:$S,19,FALSE)</f>
        <v>1098.4100000000001</v>
      </c>
      <c r="L127" s="20">
        <f>SUBTOTAL(9,L128:L130)</f>
        <v>14000</v>
      </c>
      <c r="M127" s="752">
        <f>VLOOKUP(Tabelle1[[#This Row],[Titel]],[3]Haushalt!$A$8:$W$282,8,FALSE)</f>
        <v>2771.96</v>
      </c>
      <c r="N127" s="20">
        <f>SUBTOTAL(9,N128:N130)</f>
        <v>13000</v>
      </c>
      <c r="O127" s="20">
        <f>SUBTOTAL(9,O128:O130)</f>
        <v>1700</v>
      </c>
      <c r="P127" s="20">
        <f>SUBTOTAL(9,P128:P130)</f>
        <v>2179.1</v>
      </c>
      <c r="Q127" s="20"/>
      <c r="R127" s="20"/>
      <c r="S127" s="20">
        <f>SUBTOTAL(9,S128:S130)</f>
        <v>0</v>
      </c>
      <c r="T127" s="20">
        <f>SUBTOTAL(9,T128:T130)</f>
        <v>0</v>
      </c>
      <c r="U127" s="20">
        <f>SUBTOTAL(9,U128:U130)</f>
        <v>0</v>
      </c>
      <c r="V127" s="14"/>
      <c r="Y127" s="6"/>
    </row>
    <row r="128" spans="1:25" hidden="1" outlineLevel="2" x14ac:dyDescent="0.3">
      <c r="A128" s="202" t="s">
        <v>221</v>
      </c>
      <c r="B128" s="154">
        <f t="shared" ref="B128:B182" si="18">ROW(B123)</f>
        <v>123</v>
      </c>
      <c r="C128" s="10"/>
      <c r="D128" s="10">
        <v>1</v>
      </c>
      <c r="E128" s="10">
        <v>3</v>
      </c>
      <c r="F128" s="1223"/>
      <c r="G128" s="10" t="s">
        <v>222</v>
      </c>
      <c r="H128" s="13" t="s">
        <v>223</v>
      </c>
      <c r="I128" s="1212">
        <v>15000</v>
      </c>
      <c r="J128" s="1212">
        <v>12000</v>
      </c>
      <c r="K128" s="1075">
        <f>VLOOKUP(Tabelle1[[#This Row],[Titel]],[2]Haushalt!$A:$S,19,FALSE)</f>
        <v>0</v>
      </c>
      <c r="L128" s="1075">
        <f>Tabelle285319[[#Totals],[Betrag]]</f>
        <v>8000</v>
      </c>
      <c r="M128" s="944">
        <f>VLOOKUP(Tabelle1[[#This Row],[Titel]],[3]Haushalt!$A$8:$W$282,8,FALSE)</f>
        <v>0</v>
      </c>
      <c r="N128" s="21">
        <f>Tabelle2853[[#Totals],[Betrag]]</f>
        <v>7000</v>
      </c>
      <c r="O128" s="21">
        <f>Tabelle28[[#Totals],[Betrag]]</f>
        <v>700</v>
      </c>
      <c r="P128" s="751">
        <v>0</v>
      </c>
      <c r="Q128" s="21"/>
      <c r="R128" s="21"/>
      <c r="S128" s="21">
        <f>HHJ_2022_2023!H72+HHJ_2022_2023!H73</f>
        <v>0</v>
      </c>
      <c r="T128" s="21">
        <f>HHJ_2022_2023!J72+HHJ_2022_2023!J73</f>
        <v>0</v>
      </c>
      <c r="U128" s="21">
        <f>HHJ_2022_2023!L72+HHJ_2022_2023!L73</f>
        <v>0</v>
      </c>
      <c r="V128" s="14"/>
      <c r="X128" s="6"/>
      <c r="Y128" s="6"/>
    </row>
    <row r="129" spans="1:25" hidden="1" outlineLevel="2" x14ac:dyDescent="0.3">
      <c r="A129" s="202" t="s">
        <v>224</v>
      </c>
      <c r="B129" s="154">
        <f t="shared" si="18"/>
        <v>124</v>
      </c>
      <c r="C129" s="10"/>
      <c r="D129" s="10">
        <v>1</v>
      </c>
      <c r="E129" s="10">
        <v>3</v>
      </c>
      <c r="F129" s="1223"/>
      <c r="G129" s="10" t="s">
        <v>225</v>
      </c>
      <c r="H129" s="13" t="s">
        <v>226</v>
      </c>
      <c r="I129" s="1212">
        <v>12000</v>
      </c>
      <c r="J129" s="1212">
        <v>12000</v>
      </c>
      <c r="K129" s="1075">
        <f>VLOOKUP(Tabelle1[[#This Row],[Titel]],[2]Haushalt!$A:$S,19,FALSE)</f>
        <v>930.61</v>
      </c>
      <c r="L129" s="1075">
        <f>Tabelle25212[[#Totals],[Betrag]]</f>
        <v>5500</v>
      </c>
      <c r="M129" s="944">
        <f>VLOOKUP(Tabelle1[[#This Row],[Titel]],[3]Haushalt!$A$8:$W$282,8,FALSE)</f>
        <v>2562.21</v>
      </c>
      <c r="N129" s="21">
        <f>Tabelle252[[#Totals],[Betrag]]</f>
        <v>5500</v>
      </c>
      <c r="O129" s="21">
        <f>Tabelle2[[#Totals],[Betrag]]</f>
        <v>500</v>
      </c>
      <c r="P129" s="751">
        <v>2053.25</v>
      </c>
      <c r="Q129" s="21"/>
      <c r="R129" s="21"/>
      <c r="S129" s="21">
        <f>HHJ_2022_2023!H71</f>
        <v>0</v>
      </c>
      <c r="T129" s="21">
        <f>HHJ_2022_2023!J71</f>
        <v>0</v>
      </c>
      <c r="U129" s="21">
        <f>HHJ_2022_2023!L71</f>
        <v>0</v>
      </c>
      <c r="V129" s="14"/>
      <c r="Y129" s="6"/>
    </row>
    <row r="130" spans="1:25" hidden="1" outlineLevel="2" x14ac:dyDescent="0.3">
      <c r="A130" s="202" t="s">
        <v>227</v>
      </c>
      <c r="B130" s="154">
        <f>ROW(B126)</f>
        <v>126</v>
      </c>
      <c r="C130" s="10"/>
      <c r="D130" s="10">
        <v>1</v>
      </c>
      <c r="E130" s="10">
        <v>3</v>
      </c>
      <c r="F130" s="1223"/>
      <c r="G130" s="10" t="s">
        <v>228</v>
      </c>
      <c r="H130" s="13" t="s">
        <v>229</v>
      </c>
      <c r="I130" s="1212">
        <v>4000</v>
      </c>
      <c r="J130" s="1212">
        <v>2000</v>
      </c>
      <c r="K130" s="1075">
        <f>VLOOKUP(Tabelle1[[#This Row],[Titel]],[2]Haushalt!$A:$S,19,FALSE)</f>
        <v>167.8</v>
      </c>
      <c r="L130" s="1075">
        <f>Tabelle21112165635[[#Totals],[Betrag]]</f>
        <v>500</v>
      </c>
      <c r="M130" s="944">
        <f>VLOOKUP(Tabelle1[[#This Row],[Titel]],[3]Haushalt!$A$8:$W$282,8,FALSE)</f>
        <v>209.75</v>
      </c>
      <c r="N130" s="21">
        <f>Tabelle211121656[[#Totals],[Betrag]]</f>
        <v>500</v>
      </c>
      <c r="O130" s="21">
        <f>Tabelle2111216[[#Totals],[Betrag]]</f>
        <v>500</v>
      </c>
      <c r="P130" s="751">
        <v>125.85</v>
      </c>
      <c r="Q130" s="21"/>
      <c r="R130" s="21"/>
      <c r="S130" s="21">
        <f>HHJ_2022_2023!H76</f>
        <v>0</v>
      </c>
      <c r="T130" s="21">
        <f>HHJ_2022_2023!J76</f>
        <v>0</v>
      </c>
      <c r="U130" s="21">
        <f>HHJ_2022_2023!L76</f>
        <v>0</v>
      </c>
      <c r="V130" s="14"/>
      <c r="X130" s="6"/>
      <c r="Y130" s="6"/>
    </row>
    <row r="131" spans="1:25" outlineLevel="1" collapsed="1" x14ac:dyDescent="0.3">
      <c r="B131" s="151" t="e">
        <f>ROW(#REF!)</f>
        <v>#REF!</v>
      </c>
      <c r="C131"/>
      <c r="D131"/>
      <c r="E131"/>
      <c r="M131" s="33"/>
      <c r="Q131" s="14"/>
      <c r="R131" s="14"/>
      <c r="S131" s="14"/>
      <c r="T131" s="14"/>
      <c r="U131" s="14"/>
      <c r="V131" s="14"/>
      <c r="Y131" s="6"/>
    </row>
    <row r="132" spans="1:25" outlineLevel="1" x14ac:dyDescent="0.3">
      <c r="A132" s="201" t="s">
        <v>230</v>
      </c>
      <c r="B132" s="153" t="e">
        <f>ROW(#REF!)</f>
        <v>#REF!</v>
      </c>
      <c r="C132" s="9"/>
      <c r="D132" s="9"/>
      <c r="E132" s="9"/>
      <c r="F132" s="1227"/>
      <c r="G132" s="9"/>
      <c r="H132" s="9" t="s">
        <v>231</v>
      </c>
      <c r="I132" s="20">
        <f>SUBTOTAL(9,I133:I142)</f>
        <v>88000</v>
      </c>
      <c r="J132" s="20">
        <f>SUBTOTAL(9,J133:J142)</f>
        <v>60500</v>
      </c>
      <c r="K132" s="20">
        <f>VLOOKUP(Tabelle1[[#This Row],[Titel]],[2]Haushalt!$A:$S,19,FALSE)</f>
        <v>39815.81</v>
      </c>
      <c r="L132" s="20">
        <f>SUBTOTAL(9,L133:L142)</f>
        <v>112000</v>
      </c>
      <c r="M132" s="752">
        <f>VLOOKUP(Tabelle1[[#This Row],[Titel]],[3]Haushalt!$A$8:$W$282,8,FALSE)</f>
        <v>34570.870000000003</v>
      </c>
      <c r="N132" s="20">
        <f>SUBTOTAL(9,N133:N142)</f>
        <v>82770</v>
      </c>
      <c r="O132" s="20">
        <f>SUBTOTAL(9,O133:O142)</f>
        <v>82900</v>
      </c>
      <c r="P132" s="20">
        <f>SUBTOTAL(9,P133:P142)</f>
        <v>27831.1</v>
      </c>
      <c r="Q132" s="20"/>
      <c r="R132" s="20"/>
      <c r="S132" s="20">
        <f>SUBTOTAL(9,S133:S142)</f>
        <v>697.3</v>
      </c>
      <c r="T132" s="20">
        <f>SUBTOTAL(9,T133:T142)</f>
        <v>2543.9</v>
      </c>
      <c r="U132" s="20">
        <f>SUBTOTAL(9,U133:U142)</f>
        <v>5491.72</v>
      </c>
      <c r="V132" s="14"/>
      <c r="X132" s="6"/>
      <c r="Y132" s="6"/>
    </row>
    <row r="133" spans="1:25" outlineLevel="2" x14ac:dyDescent="0.3">
      <c r="A133" s="202" t="s">
        <v>232</v>
      </c>
      <c r="B133" s="154" t="e">
        <f>ROW(#REF!)</f>
        <v>#REF!</v>
      </c>
      <c r="C133" s="10">
        <v>6650</v>
      </c>
      <c r="D133" s="10">
        <v>1</v>
      </c>
      <c r="E133" s="10">
        <v>2</v>
      </c>
      <c r="F133" s="1223"/>
      <c r="G133" s="10" t="s">
        <v>233</v>
      </c>
      <c r="H133" s="10" t="s">
        <v>234</v>
      </c>
      <c r="I133" s="1212">
        <v>7000</v>
      </c>
      <c r="J133" s="1212">
        <v>7000</v>
      </c>
      <c r="K133" s="1074">
        <f>VLOOKUP(Tabelle1[[#This Row],[Titel]],[2]Haushalt!$A:$S,19,FALSE)</f>
        <v>5090.34</v>
      </c>
      <c r="L133" s="1074">
        <v>4000</v>
      </c>
      <c r="M133" s="940">
        <f>VLOOKUP(Tabelle1[[#This Row],[Titel]],[3]Haushalt!$A$8:$W$282,8,FALSE)</f>
        <v>2183.1999999999998</v>
      </c>
      <c r="N133" s="21">
        <v>2000</v>
      </c>
      <c r="O133" s="21">
        <v>1600</v>
      </c>
      <c r="P133" s="751">
        <v>296</v>
      </c>
      <c r="Q133" s="21"/>
      <c r="R133" s="21"/>
      <c r="S133" s="21">
        <f>HHJ_2022_2023!H116+HHJ_2022_2023!H117</f>
        <v>0</v>
      </c>
      <c r="T133" s="21">
        <f>HHJ_2022_2023!J116+HHJ_2022_2023!J117</f>
        <v>9</v>
      </c>
      <c r="U133" s="21">
        <f>HHJ_2022_2023!L116+HHJ_2022_2023!L117</f>
        <v>9</v>
      </c>
      <c r="V133" s="14"/>
      <c r="Y133" s="6"/>
    </row>
    <row r="134" spans="1:25" outlineLevel="2" x14ac:dyDescent="0.3">
      <c r="A134" s="202" t="s">
        <v>235</v>
      </c>
      <c r="B134" s="154" t="e">
        <f>ROW(#REF!)</f>
        <v>#REF!</v>
      </c>
      <c r="C134" s="10">
        <v>6664</v>
      </c>
      <c r="D134" s="10">
        <v>1</v>
      </c>
      <c r="E134" s="10">
        <v>1</v>
      </c>
      <c r="F134" s="1223"/>
      <c r="G134" s="10" t="s">
        <v>236</v>
      </c>
      <c r="H134" s="10" t="s">
        <v>1216</v>
      </c>
      <c r="I134" s="1212">
        <v>32000</v>
      </c>
      <c r="J134" s="1212">
        <v>25000</v>
      </c>
      <c r="K134" s="1074">
        <f>VLOOKUP(Tabelle1[[#This Row],[Titel]],[2]Haushalt!$A:$S,19,FALSE)</f>
        <v>15406.41</v>
      </c>
      <c r="L134" s="1074">
        <v>32000</v>
      </c>
      <c r="M134" s="940">
        <f>VLOOKUP(Tabelle1[[#This Row],[Titel]],[3]Haushalt!$A$8:$W$282,8,FALSE)</f>
        <v>16080.25</v>
      </c>
      <c r="N134" s="21">
        <v>30000</v>
      </c>
      <c r="O134" s="21">
        <v>32500</v>
      </c>
      <c r="P134" s="751">
        <v>10222.02</v>
      </c>
      <c r="Q134" s="21"/>
      <c r="R134" s="21"/>
      <c r="S134" s="21">
        <f>HHJ_2022_2023!H95+HHJ_2022_2023!H98+HHJ_2022_2023!H101</f>
        <v>500</v>
      </c>
      <c r="T134" s="21">
        <f>HHJ_2022_2023!J95+HHJ_2022_2023!J98+HHJ_2022_2023!J101</f>
        <v>1044.55</v>
      </c>
      <c r="U134" s="21">
        <f>HHJ_2022_2023!L95+HHJ_2022_2023!L98+HHJ_2022_2023!L101</f>
        <v>2380.54</v>
      </c>
      <c r="V134" s="14"/>
      <c r="X134" s="6"/>
      <c r="Y134" s="6"/>
    </row>
    <row r="135" spans="1:25" outlineLevel="2" x14ac:dyDescent="0.3">
      <c r="A135" s="202" t="s">
        <v>237</v>
      </c>
      <c r="B135" s="154" t="e">
        <f>ROW(#REF!)</f>
        <v>#REF!</v>
      </c>
      <c r="C135" s="10" t="s">
        <v>1475</v>
      </c>
      <c r="D135" s="10">
        <v>1</v>
      </c>
      <c r="E135" s="10">
        <v>3</v>
      </c>
      <c r="F135" s="1223"/>
      <c r="G135" s="10" t="s">
        <v>238</v>
      </c>
      <c r="H135" s="13" t="s">
        <v>239</v>
      </c>
      <c r="I135" s="1212">
        <v>20000</v>
      </c>
      <c r="J135" s="1212">
        <v>10000</v>
      </c>
      <c r="K135" s="1075">
        <f>VLOOKUP(Tabelle1[[#This Row],[Titel]],[2]Haushalt!$A:$S,19,FALSE)</f>
        <v>6260.49</v>
      </c>
      <c r="L135" s="1075">
        <f>Referatspläne!D4</f>
        <v>26000</v>
      </c>
      <c r="M135" s="944">
        <f>VLOOKUP(Tabelle1[[#This Row],[Titel]],[3]Haushalt!$A$8:$W$282,8,FALSE)</f>
        <v>6216.53</v>
      </c>
      <c r="N135" s="21">
        <v>16800</v>
      </c>
      <c r="O135" s="21">
        <f>Referatspläne!D2</f>
        <v>17800</v>
      </c>
      <c r="P135" s="751">
        <v>3686.11</v>
      </c>
      <c r="Q135" s="21"/>
      <c r="R135" s="21"/>
      <c r="S135" s="21">
        <f>HHJ_2022_2023!H105+HHJ_2022_2023!H109+HHJ_2022_2023!H112+HHJ_2022_2023!H133+HHJ_2022_2023!H152+HHJ_2022_2023!H160+HHJ_2022_2023!H170+HHJ_2022_2023!H184</f>
        <v>128.30000000000001</v>
      </c>
      <c r="T135" s="21">
        <f>HHJ_2022_2023!J105+HHJ_2022_2023!J109+HHJ_2022_2023!J112+HHJ_2022_2023!J133+HHJ_2022_2023!J152+HHJ_2022_2023!J160+HHJ_2022_2023!J170+HHJ_2022_2023!J184</f>
        <v>369.7</v>
      </c>
      <c r="U135" s="21">
        <f>HHJ_2022_2023!L105+HHJ_2022_2023!L109+HHJ_2022_2023!L112+HHJ_2022_2023!L133+HHJ_2022_2023!L152+HHJ_2022_2023!L160+HHJ_2022_2023!L170+HHJ_2022_2023!L184</f>
        <v>449.5</v>
      </c>
      <c r="V135" s="14"/>
      <c r="Y135" s="6"/>
    </row>
    <row r="136" spans="1:25" outlineLevel="2" x14ac:dyDescent="0.3">
      <c r="A136" s="202" t="s">
        <v>240</v>
      </c>
      <c r="B136" s="154">
        <f t="shared" si="18"/>
        <v>131</v>
      </c>
      <c r="C136" s="10"/>
      <c r="D136" s="10">
        <v>1</v>
      </c>
      <c r="E136" s="10"/>
      <c r="F136" s="1223"/>
      <c r="G136" s="10"/>
      <c r="H136" s="10" t="s">
        <v>241</v>
      </c>
      <c r="I136" s="749">
        <f>SUBTOTAL(9,I137:I141)</f>
        <v>27000</v>
      </c>
      <c r="J136" s="749">
        <f>SUBTOTAL(9,J137:J141)</f>
        <v>17000</v>
      </c>
      <c r="K136" s="749">
        <f>VLOOKUP(Tabelle1[[#This Row],[Titel]],[2]Haushalt!$A:$S,19,FALSE)</f>
        <v>12296.47</v>
      </c>
      <c r="L136" s="749">
        <f>SUBTOTAL(9,L137:L141)</f>
        <v>45000</v>
      </c>
      <c r="M136" s="943">
        <f>VLOOKUP(Tabelle1[[#This Row],[Titel]],[3]Haushalt!$A$8:$W$282,8,FALSE)</f>
        <v>9641.39</v>
      </c>
      <c r="N136" s="749">
        <f>SUBTOTAL(9,N137:N141)</f>
        <v>30970</v>
      </c>
      <c r="O136" s="749">
        <f>SUBTOTAL(9,O137:O141)</f>
        <v>28500</v>
      </c>
      <c r="P136" s="749">
        <f>SUBTOTAL(9,P137:P141)</f>
        <v>12015.11</v>
      </c>
      <c r="Q136" s="21"/>
      <c r="R136" s="21"/>
      <c r="S136" s="749">
        <f>SUBTOTAL(9,S137:S141)</f>
        <v>69</v>
      </c>
      <c r="T136" s="749">
        <f>SUBTOTAL(9,T137:T141)</f>
        <v>608.29999999999995</v>
      </c>
      <c r="U136" s="749">
        <f>SUBTOTAL(9,U137:U141)</f>
        <v>2140.33</v>
      </c>
      <c r="V136" s="14"/>
      <c r="X136" s="6"/>
      <c r="Y136" s="6"/>
    </row>
    <row r="137" spans="1:25" outlineLevel="3" x14ac:dyDescent="0.3">
      <c r="A137" s="203" t="s">
        <v>242</v>
      </c>
      <c r="B137" s="155">
        <f t="shared" si="18"/>
        <v>132</v>
      </c>
      <c r="C137" s="10" t="s">
        <v>1475</v>
      </c>
      <c r="D137" s="10">
        <v>1</v>
      </c>
      <c r="E137" s="10">
        <v>5</v>
      </c>
      <c r="F137" s="1222"/>
      <c r="G137" s="10" t="s">
        <v>243</v>
      </c>
      <c r="H137" s="13" t="s">
        <v>70</v>
      </c>
      <c r="I137" s="1212">
        <v>14000</v>
      </c>
      <c r="J137" s="1212">
        <v>10000</v>
      </c>
      <c r="K137" s="21">
        <f>VLOOKUP(Tabelle1[[#This Row],[Titel]],[2]Haushalt!$A:$S,19,FALSE)</f>
        <v>7998.73</v>
      </c>
      <c r="L137" s="21">
        <f>WiWi!G12</f>
        <v>15000</v>
      </c>
      <c r="M137" s="944">
        <f>VLOOKUP(Tabelle1[[#This Row],[Titel]],[3]Haushalt!$A$8:$W$282,8,FALSE)</f>
        <v>4457.1000000000004</v>
      </c>
      <c r="N137" s="21">
        <f>WiWi!I12</f>
        <v>15000</v>
      </c>
      <c r="O137" s="21">
        <f>[4]WiWi!G12</f>
        <v>14000</v>
      </c>
      <c r="P137" s="751">
        <f>WiWi!L12</f>
        <v>8591.16</v>
      </c>
      <c r="Q137" s="21"/>
      <c r="R137" s="21"/>
      <c r="S137" s="21">
        <f>HHJ_2022_2023!H200</f>
        <v>0</v>
      </c>
      <c r="T137" s="21">
        <f>HHJ_2022_2023!J200</f>
        <v>294.89999999999998</v>
      </c>
      <c r="U137" s="21">
        <f>HHJ_2022_2023!L200</f>
        <v>1022.85</v>
      </c>
      <c r="V137" s="14"/>
      <c r="Y137" s="6"/>
    </row>
    <row r="138" spans="1:25" outlineLevel="3" x14ac:dyDescent="0.3">
      <c r="A138" s="203" t="s">
        <v>244</v>
      </c>
      <c r="B138" s="155">
        <f t="shared" si="18"/>
        <v>133</v>
      </c>
      <c r="C138" s="10" t="s">
        <v>1475</v>
      </c>
      <c r="D138" s="10">
        <v>1</v>
      </c>
      <c r="E138" s="10">
        <v>6</v>
      </c>
      <c r="F138" s="1222"/>
      <c r="G138" s="10" t="s">
        <v>245</v>
      </c>
      <c r="H138" s="13" t="s">
        <v>72</v>
      </c>
      <c r="I138" s="1212">
        <v>2000</v>
      </c>
      <c r="J138" s="1212">
        <v>500</v>
      </c>
      <c r="K138" s="21">
        <f>VLOOKUP(Tabelle1[[#This Row],[Titel]],[2]Haushalt!$A:$S,19,FALSE)</f>
        <v>111.83</v>
      </c>
      <c r="L138" s="21">
        <f>KSW!E12</f>
        <v>6000</v>
      </c>
      <c r="M138" s="944">
        <f>VLOOKUP(Tabelle1[[#This Row],[Titel]],[3]Haushalt!$A$8:$W$282,8,FALSE)</f>
        <v>995.33</v>
      </c>
      <c r="N138" s="21">
        <f>KSW!G12</f>
        <v>3570</v>
      </c>
      <c r="O138" s="21">
        <f>KSW!I12</f>
        <v>1000</v>
      </c>
      <c r="P138" s="751">
        <f>KSW!J12</f>
        <v>501.44</v>
      </c>
      <c r="Q138" s="21"/>
      <c r="R138" s="21"/>
      <c r="S138" s="21">
        <f>HHJ_2022_2023!H210</f>
        <v>69</v>
      </c>
      <c r="T138" s="21">
        <f>HHJ_2022_2023!J210</f>
        <v>146</v>
      </c>
      <c r="U138" s="21">
        <f>HHJ_2022_2023!L210</f>
        <v>146</v>
      </c>
      <c r="V138" s="14"/>
      <c r="X138" s="6"/>
      <c r="Y138" s="6"/>
    </row>
    <row r="139" spans="1:25" outlineLevel="3" x14ac:dyDescent="0.3">
      <c r="A139" s="203" t="s">
        <v>246</v>
      </c>
      <c r="B139" s="155">
        <f t="shared" si="18"/>
        <v>134</v>
      </c>
      <c r="C139" s="10" t="s">
        <v>1475</v>
      </c>
      <c r="D139" s="10">
        <v>1</v>
      </c>
      <c r="E139" s="10">
        <v>7</v>
      </c>
      <c r="F139" s="1222"/>
      <c r="G139" s="10" t="s">
        <v>247</v>
      </c>
      <c r="H139" s="13" t="s">
        <v>75</v>
      </c>
      <c r="I139" s="1212">
        <v>2000</v>
      </c>
      <c r="J139" s="1212">
        <v>1000</v>
      </c>
      <c r="K139" s="21">
        <f>VLOOKUP(Tabelle1[[#This Row],[Titel]],[2]Haushalt!$A:$S,19,FALSE)</f>
        <v>705.42</v>
      </c>
      <c r="L139" s="21">
        <f>PSY!E12</f>
        <v>6000</v>
      </c>
      <c r="M139" s="944">
        <f>VLOOKUP(Tabelle1[[#This Row],[Titel]],[3]Haushalt!$A$8:$W$282,8,FALSE)</f>
        <v>1081.3800000000001</v>
      </c>
      <c r="N139" s="21">
        <f>PSY!G12</f>
        <v>2600</v>
      </c>
      <c r="O139" s="21">
        <f>PSY!I12</f>
        <v>1500</v>
      </c>
      <c r="P139" s="751">
        <f>PSY!J12</f>
        <v>897.76</v>
      </c>
      <c r="Q139" s="21"/>
      <c r="R139" s="21"/>
      <c r="S139" s="21">
        <f>HHJ_2022_2023!H220</f>
        <v>0</v>
      </c>
      <c r="T139" s="21">
        <f>HHJ_2022_2023!J220</f>
        <v>167.4</v>
      </c>
      <c r="U139" s="21">
        <f>HHJ_2022_2023!L220</f>
        <v>787.43</v>
      </c>
      <c r="V139" s="14"/>
      <c r="Y139" s="6"/>
    </row>
    <row r="140" spans="1:25" outlineLevel="3" x14ac:dyDescent="0.3">
      <c r="A140" s="203" t="s">
        <v>248</v>
      </c>
      <c r="B140" s="155">
        <f t="shared" si="18"/>
        <v>135</v>
      </c>
      <c r="C140" s="10" t="s">
        <v>1475</v>
      </c>
      <c r="D140" s="10">
        <v>1</v>
      </c>
      <c r="E140" s="10">
        <v>8</v>
      </c>
      <c r="F140" s="1222"/>
      <c r="G140" s="10" t="s">
        <v>249</v>
      </c>
      <c r="H140" s="13" t="s">
        <v>78</v>
      </c>
      <c r="I140" s="1212">
        <v>6000</v>
      </c>
      <c r="J140" s="1212">
        <v>4000</v>
      </c>
      <c r="K140" s="21">
        <f>VLOOKUP(Tabelle1[[#This Row],[Titel]],[2]Haushalt!$A:$S,19,FALSE)</f>
        <v>2851.86</v>
      </c>
      <c r="L140" s="21">
        <f>ReWi!E12</f>
        <v>12000</v>
      </c>
      <c r="M140" s="944">
        <f>VLOOKUP(Tabelle1[[#This Row],[Titel]],[3]Haushalt!$A$8:$W$282,8,FALSE)</f>
        <v>2926.88</v>
      </c>
      <c r="N140" s="21">
        <f>ReWi!G12</f>
        <v>7800</v>
      </c>
      <c r="O140" s="21">
        <f>ReWi!I12</f>
        <v>8000</v>
      </c>
      <c r="P140" s="751">
        <f>ReWi!J12</f>
        <v>1852.7</v>
      </c>
      <c r="Q140" s="21"/>
      <c r="R140" s="21"/>
      <c r="S140" s="21">
        <f>HHJ_2022_2023!H230</f>
        <v>0</v>
      </c>
      <c r="T140" s="21">
        <f>HHJ_2022_2023!J230</f>
        <v>0</v>
      </c>
      <c r="U140" s="21">
        <f>HHJ_2022_2023!L230</f>
        <v>184.05</v>
      </c>
      <c r="V140" s="14"/>
      <c r="X140" s="6"/>
      <c r="Y140" s="6"/>
    </row>
    <row r="141" spans="1:25" outlineLevel="3" x14ac:dyDescent="0.3">
      <c r="A141" s="203" t="s">
        <v>250</v>
      </c>
      <c r="B141" s="155">
        <f t="shared" si="18"/>
        <v>136</v>
      </c>
      <c r="C141" s="10" t="s">
        <v>1475</v>
      </c>
      <c r="D141" s="10">
        <v>1</v>
      </c>
      <c r="E141" s="10">
        <v>9</v>
      </c>
      <c r="F141" s="1222"/>
      <c r="G141" s="10" t="s">
        <v>251</v>
      </c>
      <c r="H141" s="13" t="s">
        <v>80</v>
      </c>
      <c r="I141" s="1212">
        <v>3000</v>
      </c>
      <c r="J141" s="1212">
        <v>1500</v>
      </c>
      <c r="K141" s="21">
        <f>VLOOKUP(Tabelle1[[#This Row],[Titel]],[2]Haushalt!$A:$S,19,FALSE)</f>
        <v>628.63</v>
      </c>
      <c r="L141" s="21">
        <f>M_I!G12</f>
        <v>6000</v>
      </c>
      <c r="M141" s="944">
        <f>VLOOKUP(Tabelle1[[#This Row],[Titel]],[3]Haushalt!$A$8:$W$282,8,FALSE)</f>
        <v>180.7</v>
      </c>
      <c r="N141" s="21">
        <f>M_I!I12</f>
        <v>2000</v>
      </c>
      <c r="O141" s="21">
        <f>M_I!K12</f>
        <v>4000</v>
      </c>
      <c r="P141" s="751">
        <f>M_I!L12</f>
        <v>172.05</v>
      </c>
      <c r="Q141" s="21"/>
      <c r="R141" s="21"/>
      <c r="S141" s="21">
        <f>HHJ_2022_2023!H240</f>
        <v>0</v>
      </c>
      <c r="T141" s="21">
        <f>HHJ_2022_2023!J240</f>
        <v>0</v>
      </c>
      <c r="U141" s="21">
        <f>HHJ_2022_2023!L240</f>
        <v>0</v>
      </c>
      <c r="V141" s="14"/>
      <c r="Y141" s="6"/>
    </row>
    <row r="142" spans="1:25" outlineLevel="2" x14ac:dyDescent="0.3">
      <c r="A142" s="202" t="s">
        <v>252</v>
      </c>
      <c r="B142" s="154">
        <f t="shared" si="18"/>
        <v>137</v>
      </c>
      <c r="C142" s="1228" t="s">
        <v>1475</v>
      </c>
      <c r="D142" s="10">
        <v>1</v>
      </c>
      <c r="E142" s="10"/>
      <c r="F142" s="1223"/>
      <c r="G142" s="10" t="s">
        <v>253</v>
      </c>
      <c r="H142" s="10" t="s">
        <v>254</v>
      </c>
      <c r="I142" s="1212">
        <v>2000</v>
      </c>
      <c r="J142" s="1212">
        <v>1500</v>
      </c>
      <c r="K142" s="21">
        <f>VLOOKUP(Tabelle1[[#This Row],[Titel]],[2]Haushalt!$A:$S,19,FALSE)</f>
        <v>762.1</v>
      </c>
      <c r="L142" s="21">
        <v>5000</v>
      </c>
      <c r="M142" s="940">
        <f>VLOOKUP(Tabelle1[[#This Row],[Titel]],[3]Haushalt!$A$8:$W$282,8,FALSE)</f>
        <v>449.5</v>
      </c>
      <c r="N142" s="21">
        <v>3000</v>
      </c>
      <c r="O142" s="21">
        <v>2500</v>
      </c>
      <c r="P142" s="751">
        <v>1611.86</v>
      </c>
      <c r="Q142" s="21"/>
      <c r="R142" s="21"/>
      <c r="S142" s="21">
        <f>HHJ_2022_2023!H193</f>
        <v>0</v>
      </c>
      <c r="T142" s="21">
        <f>HHJ_2022_2023!J193</f>
        <v>512.35</v>
      </c>
      <c r="U142" s="21">
        <f>HHJ_2022_2023!L193</f>
        <v>512.35</v>
      </c>
      <c r="V142" s="14"/>
      <c r="X142" s="6"/>
      <c r="Y142" s="6"/>
    </row>
    <row r="143" spans="1:25" outlineLevel="1" x14ac:dyDescent="0.3">
      <c r="B143" s="151">
        <f t="shared" si="18"/>
        <v>138</v>
      </c>
      <c r="C143"/>
      <c r="D143"/>
      <c r="E143"/>
      <c r="M143" s="33"/>
      <c r="Q143" s="14"/>
      <c r="R143" s="14"/>
      <c r="S143" s="14"/>
      <c r="T143" s="14"/>
      <c r="U143" s="14"/>
      <c r="V143" s="14"/>
      <c r="Y143" s="6"/>
    </row>
    <row r="144" spans="1:25" outlineLevel="1" x14ac:dyDescent="0.3">
      <c r="A144" s="201" t="s">
        <v>255</v>
      </c>
      <c r="B144" s="153">
        <f t="shared" si="18"/>
        <v>139</v>
      </c>
      <c r="C144" s="9"/>
      <c r="D144" s="9"/>
      <c r="E144" s="9"/>
      <c r="F144" s="1227"/>
      <c r="G144" s="9"/>
      <c r="H144" s="9" t="s">
        <v>256</v>
      </c>
      <c r="I144" s="20">
        <f>SUBTOTAL(9,I145:I154)</f>
        <v>43500</v>
      </c>
      <c r="J144" s="20">
        <f>SUBTOTAL(9,J145:J154)</f>
        <v>25800</v>
      </c>
      <c r="K144" s="20">
        <f>VLOOKUP(Tabelle1[[#This Row],[Titel]],[2]Haushalt!$A:$S,19,FALSE)</f>
        <v>16018.319999999998</v>
      </c>
      <c r="L144" s="20">
        <f>SUBTOTAL(9,L145:L154)</f>
        <v>31276</v>
      </c>
      <c r="M144" s="752">
        <f>VLOOKUP(Tabelle1[[#This Row],[Titel]],[3]Haushalt!$A$8:$W$282,8,FALSE)</f>
        <v>13600.53</v>
      </c>
      <c r="N144" s="20">
        <f>SUBTOTAL(9,N145:N154)</f>
        <v>43070</v>
      </c>
      <c r="O144" s="20">
        <f>SUBTOTAL(9,O145:O154)</f>
        <v>24810</v>
      </c>
      <c r="P144" s="20">
        <f>SUBTOTAL(9,P145:P154)</f>
        <v>9119.1999999999989</v>
      </c>
      <c r="Q144" s="20"/>
      <c r="R144" s="20"/>
      <c r="S144" s="20">
        <f>SUBTOTAL(9,S145:S154)</f>
        <v>216</v>
      </c>
      <c r="T144" s="20">
        <f>SUBTOTAL(9,T145:T154)</f>
        <v>2204.8000000000002</v>
      </c>
      <c r="U144" s="20">
        <f>SUBTOTAL(9,U145:U154)</f>
        <v>3106.76</v>
      </c>
      <c r="V144" s="14"/>
      <c r="X144" s="6"/>
      <c r="Y144" s="6"/>
    </row>
    <row r="145" spans="1:29" outlineLevel="2" x14ac:dyDescent="0.3">
      <c r="A145" s="202" t="s">
        <v>257</v>
      </c>
      <c r="B145" s="154">
        <f t="shared" si="18"/>
        <v>140</v>
      </c>
      <c r="C145" s="10" t="s">
        <v>1476</v>
      </c>
      <c r="D145" s="10">
        <v>1</v>
      </c>
      <c r="E145" s="10">
        <v>2</v>
      </c>
      <c r="F145" s="1223"/>
      <c r="G145" s="10" t="s">
        <v>41</v>
      </c>
      <c r="H145" s="10" t="s">
        <v>234</v>
      </c>
      <c r="I145" s="21">
        <v>500</v>
      </c>
      <c r="J145" s="21">
        <v>500</v>
      </c>
      <c r="K145" s="21">
        <f>VLOOKUP(Tabelle1[[#This Row],[Titel]],[2]Haushalt!$A:$S,19,FALSE)</f>
        <v>0</v>
      </c>
      <c r="L145" s="21">
        <v>1000</v>
      </c>
      <c r="M145" s="940">
        <f>VLOOKUP(Tabelle1[[#This Row],[Titel]],[3]Haushalt!$A$8:$W$282,8,FALSE)</f>
        <v>0</v>
      </c>
      <c r="N145" s="21">
        <v>500</v>
      </c>
      <c r="O145" s="21">
        <v>0</v>
      </c>
      <c r="P145" s="21">
        <v>0</v>
      </c>
      <c r="Q145" s="21"/>
      <c r="R145" s="21"/>
      <c r="S145" s="21"/>
      <c r="T145" s="21"/>
      <c r="U145" s="21"/>
      <c r="V145" s="14"/>
      <c r="Y145" s="6"/>
    </row>
    <row r="146" spans="1:29" outlineLevel="2" x14ac:dyDescent="0.3">
      <c r="A146" s="202" t="s">
        <v>258</v>
      </c>
      <c r="B146" s="154">
        <f t="shared" si="18"/>
        <v>141</v>
      </c>
      <c r="C146" s="10" t="s">
        <v>1476</v>
      </c>
      <c r="D146" s="10">
        <v>1</v>
      </c>
      <c r="E146" s="10">
        <v>1</v>
      </c>
      <c r="F146" s="1223"/>
      <c r="G146" s="10" t="s">
        <v>259</v>
      </c>
      <c r="H146" s="10" t="s">
        <v>260</v>
      </c>
      <c r="I146" s="1212">
        <v>18000</v>
      </c>
      <c r="J146" s="1212">
        <v>15000</v>
      </c>
      <c r="K146" s="21">
        <f>VLOOKUP(Tabelle1[[#This Row],[Titel]],[2]Haushalt!$A:$S,19,FALSE)</f>
        <v>8358.82</v>
      </c>
      <c r="L146" s="21">
        <v>15000</v>
      </c>
      <c r="M146" s="940">
        <f>VLOOKUP(Tabelle1[[#This Row],[Titel]],[3]Haushalt!$A$8:$W$282,8,FALSE)</f>
        <v>7621.5</v>
      </c>
      <c r="N146" s="21">
        <v>13000</v>
      </c>
      <c r="O146" s="21">
        <v>10350</v>
      </c>
      <c r="P146" s="751">
        <v>4807.57</v>
      </c>
      <c r="Q146" s="21"/>
      <c r="R146" s="21"/>
      <c r="S146" s="21">
        <f>HHJ_2022_2023!H96+HHJ_2022_2023!H97+HHJ_2022_2023!H99+HHJ_2022_2023!H100+HHJ_2022_2023!H102+HHJ_2022_2023!H103</f>
        <v>0</v>
      </c>
      <c r="T146" s="21">
        <f>HHJ_2022_2023!J96+HHJ_2022_2023!J97+HHJ_2022_2023!J99+HHJ_2022_2023!J100+HHJ_2022_2023!J102+HHJ_2022_2023!J103</f>
        <v>1572.8</v>
      </c>
      <c r="U146" s="21">
        <f>HHJ_2022_2023!L96+HHJ_2022_2023!L97+HHJ_2022_2023!L99+HHJ_2022_2023!L100+HHJ_2022_2023!L102+HHJ_2022_2023!L103</f>
        <v>1764.8</v>
      </c>
      <c r="V146" s="14"/>
      <c r="X146" s="6"/>
      <c r="Y146" s="6"/>
    </row>
    <row r="147" spans="1:29" outlineLevel="2" x14ac:dyDescent="0.3">
      <c r="A147" s="202" t="s">
        <v>261</v>
      </c>
      <c r="B147" s="154">
        <f t="shared" si="18"/>
        <v>142</v>
      </c>
      <c r="C147" s="10" t="s">
        <v>1476</v>
      </c>
      <c r="D147" s="10">
        <v>1</v>
      </c>
      <c r="E147" s="10">
        <v>3</v>
      </c>
      <c r="F147" s="1223"/>
      <c r="G147" s="10" t="s">
        <v>262</v>
      </c>
      <c r="H147" s="13" t="s">
        <v>263</v>
      </c>
      <c r="I147" s="1212">
        <v>10000</v>
      </c>
      <c r="J147" s="1212">
        <v>3500</v>
      </c>
      <c r="K147" s="1075">
        <f>VLOOKUP(Tabelle1[[#This Row],[Titel]],[2]Haushalt!$A:$S,19,FALSE)</f>
        <v>2786.71</v>
      </c>
      <c r="L147" s="1075">
        <f>Referatspläne!I4</f>
        <v>2206</v>
      </c>
      <c r="M147" s="944">
        <f>VLOOKUP(Tabelle1[[#This Row],[Titel]],[3]Haushalt!$A$8:$W$282,8,FALSE)</f>
        <v>2088.4499999999998</v>
      </c>
      <c r="N147" s="21">
        <v>16250</v>
      </c>
      <c r="O147" s="21">
        <f>Referatspläne!H2</f>
        <v>5960</v>
      </c>
      <c r="P147" s="751">
        <v>1551.23</v>
      </c>
      <c r="Q147" s="21"/>
      <c r="R147" s="21"/>
      <c r="S147" s="21">
        <f>HHJ_2022_2023!H106+HHJ_2022_2023!H107+HHJ_2022_2023!H110+HHJ_2022_2023!H111+HHJ_2022_2023!H113+HHJ_2022_2023!H114+HHJ_2022_2023!H172+HHJ_2022_2023!H186</f>
        <v>64</v>
      </c>
      <c r="T147" s="21">
        <f>HHJ_2022_2023!J106+HHJ_2022_2023!J107+HHJ_2022_2023!J110+HHJ_2022_2023!J111+HHJ_2022_2023!J113+HHJ_2022_2023!J114+HHJ_2022_2023!J172+HHJ_2022_2023!J186</f>
        <v>160</v>
      </c>
      <c r="U147" s="21">
        <f>HHJ_2022_2023!L106+HHJ_2022_2023!L107+HHJ_2022_2023!L110+HHJ_2022_2023!L111+HHJ_2022_2023!L113+HHJ_2022_2023!L114+HHJ_2022_2023!L172+HHJ_2022_2023!L186</f>
        <v>256</v>
      </c>
      <c r="V147" s="14"/>
      <c r="Y147" s="6"/>
    </row>
    <row r="148" spans="1:29" outlineLevel="2" x14ac:dyDescent="0.3">
      <c r="A148" s="202" t="s">
        <v>264</v>
      </c>
      <c r="B148" s="154">
        <f t="shared" si="18"/>
        <v>143</v>
      </c>
      <c r="C148" s="10"/>
      <c r="D148" s="10">
        <v>1</v>
      </c>
      <c r="E148" s="10"/>
      <c r="F148" s="1223"/>
      <c r="G148" s="10"/>
      <c r="H148" s="10" t="s">
        <v>265</v>
      </c>
      <c r="I148" s="749">
        <f>SUBTOTAL(9,I149:I153)</f>
        <v>13000</v>
      </c>
      <c r="J148" s="749">
        <f>SUBTOTAL(9,J149:J153)</f>
        <v>6000</v>
      </c>
      <c r="K148" s="749">
        <f>VLOOKUP(Tabelle1[[#This Row],[Titel]],[2]Haushalt!$A:$S,19,FALSE)</f>
        <v>4251.99</v>
      </c>
      <c r="L148" s="749">
        <f>SUBTOTAL(9,L149:L153)</f>
        <v>11070</v>
      </c>
      <c r="M148" s="943">
        <f>VLOOKUP(Tabelle1[[#This Row],[Titel]],[3]Haushalt!$A$8:$W$282,8,FALSE)</f>
        <v>3570.58</v>
      </c>
      <c r="N148" s="749">
        <f>SUBTOTAL(9,N149:N153)</f>
        <v>11320</v>
      </c>
      <c r="O148" s="749">
        <f>SUBTOTAL(9,O149:O153)</f>
        <v>7000</v>
      </c>
      <c r="P148" s="749">
        <f>SUBTOTAL(9,P149:P153)</f>
        <v>2117.4</v>
      </c>
      <c r="Q148" s="21"/>
      <c r="R148" s="21"/>
      <c r="S148" s="749">
        <f>SUBTOTAL(9,S149:S153)</f>
        <v>152</v>
      </c>
      <c r="T148" s="749">
        <f>SUBTOTAL(9,T149:T153)</f>
        <v>152</v>
      </c>
      <c r="U148" s="749">
        <f>SUBTOTAL(9,U149:U153)</f>
        <v>765.96</v>
      </c>
      <c r="V148" s="14"/>
      <c r="X148" s="6"/>
      <c r="Y148" s="6"/>
    </row>
    <row r="149" spans="1:29" outlineLevel="3" x14ac:dyDescent="0.3">
      <c r="A149" s="203" t="s">
        <v>266</v>
      </c>
      <c r="B149" s="155">
        <f t="shared" si="18"/>
        <v>144</v>
      </c>
      <c r="C149" s="10" t="s">
        <v>1476</v>
      </c>
      <c r="D149" s="10">
        <v>1</v>
      </c>
      <c r="E149" s="10">
        <v>5</v>
      </c>
      <c r="F149" s="1223"/>
      <c r="G149" s="10" t="s">
        <v>267</v>
      </c>
      <c r="H149" s="13" t="s">
        <v>268</v>
      </c>
      <c r="I149" s="1212">
        <v>6000</v>
      </c>
      <c r="J149" s="1212">
        <v>3000</v>
      </c>
      <c r="K149" s="21">
        <f>VLOOKUP(Tabelle1[[#This Row],[Titel]],[2]Haushalt!$A:$S,19,FALSE)</f>
        <v>2520.48</v>
      </c>
      <c r="L149" s="21">
        <f>WiWi!G13</f>
        <v>3000</v>
      </c>
      <c r="M149" s="944">
        <f>VLOOKUP(Tabelle1[[#This Row],[Titel]],[3]Haushalt!$A$8:$W$282,8,FALSE)</f>
        <v>1647.92</v>
      </c>
      <c r="N149" s="21">
        <f>WiWi!I13</f>
        <v>4200</v>
      </c>
      <c r="O149" s="21">
        <f>WiWi!K13</f>
        <v>3000</v>
      </c>
      <c r="P149" s="751">
        <f>WiWi!L13</f>
        <v>1120</v>
      </c>
      <c r="Q149" s="21"/>
      <c r="R149" s="21"/>
      <c r="S149" s="21">
        <f>HHJ_2022_2023!H202</f>
        <v>0</v>
      </c>
      <c r="T149" s="21">
        <f>HHJ_2022_2023!J202</f>
        <v>0</v>
      </c>
      <c r="U149" s="21">
        <f>HHJ_2022_2023!L202</f>
        <v>130</v>
      </c>
      <c r="V149" s="14"/>
      <c r="Y149" s="6"/>
    </row>
    <row r="150" spans="1:29" outlineLevel="3" x14ac:dyDescent="0.3">
      <c r="A150" s="203" t="s">
        <v>269</v>
      </c>
      <c r="B150" s="155">
        <f t="shared" si="18"/>
        <v>145</v>
      </c>
      <c r="C150" s="10" t="s">
        <v>1476</v>
      </c>
      <c r="D150" s="10">
        <v>1</v>
      </c>
      <c r="E150" s="10">
        <v>6</v>
      </c>
      <c r="F150" s="1223"/>
      <c r="G150" s="10" t="s">
        <v>270</v>
      </c>
      <c r="H150" s="13" t="s">
        <v>271</v>
      </c>
      <c r="I150" s="1212">
        <v>1500</v>
      </c>
      <c r="J150" s="1212">
        <v>200</v>
      </c>
      <c r="K150" s="21">
        <f>VLOOKUP(Tabelle1[[#This Row],[Titel]],[2]Haushalt!$A:$S,19,FALSE)</f>
        <v>32</v>
      </c>
      <c r="L150" s="21">
        <f>KSW!E13</f>
        <v>2670</v>
      </c>
      <c r="M150" s="944">
        <f>VLOOKUP(Tabelle1[[#This Row],[Titel]],[3]Haushalt!$A$8:$W$282,8,FALSE)</f>
        <v>320</v>
      </c>
      <c r="N150" s="21">
        <f>KSW!G13</f>
        <v>2670</v>
      </c>
      <c r="O150" s="21">
        <f>KSW!I13</f>
        <v>500</v>
      </c>
      <c r="P150" s="751">
        <f>KSW!J13</f>
        <v>302.39999999999998</v>
      </c>
      <c r="Q150" s="21"/>
      <c r="R150" s="21"/>
      <c r="S150" s="21">
        <f>HHJ_2022_2023!H212</f>
        <v>0</v>
      </c>
      <c r="T150" s="21">
        <f>HHJ_2022_2023!J212</f>
        <v>0</v>
      </c>
      <c r="U150" s="21">
        <f>HHJ_2022_2023!L212</f>
        <v>0</v>
      </c>
      <c r="V150" s="14"/>
      <c r="X150" s="6"/>
      <c r="Y150" s="6"/>
    </row>
    <row r="151" spans="1:29" outlineLevel="3" x14ac:dyDescent="0.3">
      <c r="A151" s="203" t="s">
        <v>272</v>
      </c>
      <c r="B151" s="155">
        <f t="shared" si="18"/>
        <v>146</v>
      </c>
      <c r="C151" s="10" t="s">
        <v>1476</v>
      </c>
      <c r="D151" s="10">
        <v>1</v>
      </c>
      <c r="E151" s="10">
        <v>7</v>
      </c>
      <c r="F151" s="1223"/>
      <c r="G151" s="10" t="s">
        <v>273</v>
      </c>
      <c r="H151" s="13" t="s">
        <v>274</v>
      </c>
      <c r="I151" s="1212">
        <v>1500</v>
      </c>
      <c r="J151" s="1212">
        <v>300</v>
      </c>
      <c r="K151" s="21">
        <f>VLOOKUP(Tabelle1[[#This Row],[Titel]],[2]Haushalt!$A:$S,19,FALSE)</f>
        <v>94</v>
      </c>
      <c r="L151" s="21">
        <f>PSY!E13</f>
        <v>1400</v>
      </c>
      <c r="M151" s="944">
        <f>VLOOKUP(Tabelle1[[#This Row],[Titel]],[3]Haushalt!$A$8:$W$282,8,FALSE)</f>
        <v>266.97000000000003</v>
      </c>
      <c r="N151" s="21">
        <f>PSY!G13</f>
        <v>1600</v>
      </c>
      <c r="O151" s="21">
        <f>PSY!I13</f>
        <v>500</v>
      </c>
      <c r="P151" s="751">
        <f>PSY!J13</f>
        <v>551</v>
      </c>
      <c r="Q151" s="21"/>
      <c r="R151" s="21"/>
      <c r="S151" s="21">
        <f>HHJ_2022_2023!H222</f>
        <v>152</v>
      </c>
      <c r="T151" s="21">
        <f>HHJ_2022_2023!J222</f>
        <v>152</v>
      </c>
      <c r="U151" s="21">
        <f>HHJ_2022_2023!L222</f>
        <v>202.97</v>
      </c>
      <c r="V151" s="14"/>
      <c r="Y151" s="6"/>
    </row>
    <row r="152" spans="1:29" outlineLevel="3" x14ac:dyDescent="0.3">
      <c r="A152" s="203" t="s">
        <v>275</v>
      </c>
      <c r="B152" s="155">
        <f t="shared" si="18"/>
        <v>147</v>
      </c>
      <c r="C152" s="10" t="s">
        <v>1476</v>
      </c>
      <c r="D152" s="10">
        <v>1</v>
      </c>
      <c r="E152" s="10">
        <v>8</v>
      </c>
      <c r="F152" s="1223"/>
      <c r="G152" s="10" t="s">
        <v>276</v>
      </c>
      <c r="H152" s="13" t="s">
        <v>277</v>
      </c>
      <c r="I152" s="1212">
        <v>2500</v>
      </c>
      <c r="J152" s="1212">
        <v>2000</v>
      </c>
      <c r="K152" s="21">
        <f>VLOOKUP(Tabelle1[[#This Row],[Titel]],[2]Haushalt!$A:$S,19,FALSE)</f>
        <v>1281.51</v>
      </c>
      <c r="L152" s="21">
        <f>ReWi!E13</f>
        <v>2500</v>
      </c>
      <c r="M152" s="944">
        <f>VLOOKUP(Tabelle1[[#This Row],[Titel]],[3]Haushalt!$A$8:$W$282,8,FALSE)</f>
        <v>1335.69</v>
      </c>
      <c r="N152" s="21">
        <f>ReWi!G13</f>
        <v>1700</v>
      </c>
      <c r="O152" s="21">
        <f>ReWi!I13</f>
        <v>2000</v>
      </c>
      <c r="P152" s="751">
        <f>ReWi!J13</f>
        <v>144</v>
      </c>
      <c r="Q152" s="21"/>
      <c r="R152" s="21"/>
      <c r="S152" s="21">
        <f>HHJ_2022_2023!H232</f>
        <v>0</v>
      </c>
      <c r="T152" s="21">
        <f>HHJ_2022_2023!J232</f>
        <v>0</v>
      </c>
      <c r="U152" s="21">
        <f>HHJ_2022_2023!L232</f>
        <v>432.99</v>
      </c>
      <c r="V152" s="14"/>
      <c r="X152" s="6"/>
      <c r="Y152" s="6"/>
    </row>
    <row r="153" spans="1:29" outlineLevel="3" x14ac:dyDescent="0.3">
      <c r="A153" s="203" t="s">
        <v>278</v>
      </c>
      <c r="B153" s="155">
        <f t="shared" si="18"/>
        <v>148</v>
      </c>
      <c r="C153" s="10" t="s">
        <v>1476</v>
      </c>
      <c r="D153" s="10">
        <v>1</v>
      </c>
      <c r="E153" s="10">
        <v>9</v>
      </c>
      <c r="F153" s="1223"/>
      <c r="G153" s="10" t="s">
        <v>279</v>
      </c>
      <c r="H153" s="13" t="s">
        <v>280</v>
      </c>
      <c r="I153" s="1212">
        <v>1500</v>
      </c>
      <c r="J153" s="1212">
        <v>500</v>
      </c>
      <c r="K153" s="21">
        <f>VLOOKUP(Tabelle1[[#This Row],[Titel]],[2]Haushalt!$A:$S,19,FALSE)</f>
        <v>324</v>
      </c>
      <c r="L153" s="21">
        <f>M_I!G13</f>
        <v>1500</v>
      </c>
      <c r="M153" s="944">
        <f>VLOOKUP(Tabelle1[[#This Row],[Titel]],[3]Haushalt!$A$8:$W$282,8,FALSE)</f>
        <v>0</v>
      </c>
      <c r="N153" s="21">
        <f>M_I!I13</f>
        <v>1150</v>
      </c>
      <c r="O153" s="21">
        <f>M_I!K13</f>
        <v>1000</v>
      </c>
      <c r="P153" s="751">
        <f>M_I!L13</f>
        <v>0</v>
      </c>
      <c r="Q153" s="21"/>
      <c r="R153" s="21"/>
      <c r="S153" s="21">
        <f>HHJ_2022_2023!H242</f>
        <v>0</v>
      </c>
      <c r="T153" s="21">
        <f>HHJ_2022_2023!J242</f>
        <v>0</v>
      </c>
      <c r="U153" s="21">
        <f>HHJ_2022_2023!L242</f>
        <v>0</v>
      </c>
      <c r="V153" s="14"/>
      <c r="Y153" s="6"/>
    </row>
    <row r="154" spans="1:29" outlineLevel="2" x14ac:dyDescent="0.3">
      <c r="A154" s="202" t="s">
        <v>281</v>
      </c>
      <c r="B154" s="154">
        <f t="shared" si="18"/>
        <v>149</v>
      </c>
      <c r="C154" s="1228" t="s">
        <v>1476</v>
      </c>
      <c r="D154" s="10">
        <v>1</v>
      </c>
      <c r="E154" s="10"/>
      <c r="F154" s="1223"/>
      <c r="G154" s="10" t="s">
        <v>282</v>
      </c>
      <c r="H154" s="10" t="s">
        <v>151</v>
      </c>
      <c r="I154" s="1212">
        <v>2000</v>
      </c>
      <c r="J154" s="1212">
        <v>800</v>
      </c>
      <c r="K154" s="21">
        <f>VLOOKUP(Tabelle1[[#This Row],[Titel]],[2]Haushalt!$A:$S,19,FALSE)</f>
        <v>620.79999999999995</v>
      </c>
      <c r="L154" s="21">
        <v>2000</v>
      </c>
      <c r="M154" s="940">
        <f>VLOOKUP(Tabelle1[[#This Row],[Titel]],[3]Haushalt!$A$8:$W$282,8,FALSE)</f>
        <v>320</v>
      </c>
      <c r="N154" s="21">
        <v>2000</v>
      </c>
      <c r="O154" s="21">
        <v>1500</v>
      </c>
      <c r="P154" s="751">
        <v>643</v>
      </c>
      <c r="Q154" s="21"/>
      <c r="R154" s="21"/>
      <c r="S154" s="21">
        <f>HHJ_2022_2023!H195</f>
        <v>0</v>
      </c>
      <c r="T154" s="21">
        <f>HHJ_2022_2023!J195</f>
        <v>320</v>
      </c>
      <c r="U154" s="21">
        <f>HHJ_2022_2023!L195</f>
        <v>320</v>
      </c>
      <c r="V154" s="14"/>
      <c r="X154" s="6"/>
      <c r="Y154" s="6"/>
    </row>
    <row r="155" spans="1:29" outlineLevel="1" x14ac:dyDescent="0.3">
      <c r="B155" s="151">
        <f t="shared" si="18"/>
        <v>150</v>
      </c>
      <c r="C155"/>
      <c r="D155"/>
      <c r="E155"/>
      <c r="M155" s="33"/>
      <c r="Q155" s="14"/>
      <c r="R155" s="14"/>
      <c r="S155" s="14"/>
      <c r="T155" s="14"/>
      <c r="U155" s="14"/>
      <c r="V155" s="14"/>
      <c r="Y155" s="6"/>
    </row>
    <row r="156" spans="1:29" outlineLevel="1" x14ac:dyDescent="0.3">
      <c r="A156" s="201" t="s">
        <v>283</v>
      </c>
      <c r="B156" s="153">
        <f t="shared" si="18"/>
        <v>151</v>
      </c>
      <c r="C156" s="9"/>
      <c r="D156" s="9"/>
      <c r="E156" s="9"/>
      <c r="F156" s="1227"/>
      <c r="G156" s="9"/>
      <c r="H156" s="9" t="s">
        <v>284</v>
      </c>
      <c r="I156" s="20">
        <f>SUBTOTAL(9,I157:I166)</f>
        <v>13000</v>
      </c>
      <c r="J156" s="20">
        <f>SUBTOTAL(9,J157:J166)</f>
        <v>11450</v>
      </c>
      <c r="K156" s="20">
        <f>VLOOKUP(Tabelle1[[#This Row],[Titel]],[2]Haushalt!$A:$S,19,FALSE)</f>
        <v>4757.46</v>
      </c>
      <c r="L156" s="20">
        <f>SUBTOTAL(9,L157:L166)</f>
        <v>17498</v>
      </c>
      <c r="M156" s="752">
        <f>VLOOKUP(Tabelle1[[#This Row],[Titel]],[3]Haushalt!$A$8:$W$282,8,FALSE)</f>
        <v>5105.21</v>
      </c>
      <c r="N156" s="20">
        <f>SUBTOTAL(9,N157:N166)</f>
        <v>12800</v>
      </c>
      <c r="O156" s="20">
        <f>SUBTOTAL(9,O157:O166)</f>
        <v>6850</v>
      </c>
      <c r="P156" s="20">
        <f>SUBTOTAL(9,P157:P166)</f>
        <v>2694.37</v>
      </c>
      <c r="Q156" s="20"/>
      <c r="R156" s="20"/>
      <c r="S156" s="20">
        <f>SUBTOTAL(9,S157:S166)</f>
        <v>60.769999999999996</v>
      </c>
      <c r="T156" s="20">
        <f>SUBTOTAL(9,T157:T166)</f>
        <v>494.76</v>
      </c>
      <c r="U156" s="20">
        <f>SUBTOTAL(9,U157:U166)</f>
        <v>893.44399999999996</v>
      </c>
      <c r="V156" s="14"/>
      <c r="X156" s="6"/>
      <c r="Y156" s="6"/>
    </row>
    <row r="157" spans="1:29" outlineLevel="2" x14ac:dyDescent="0.3">
      <c r="A157" s="202" t="s">
        <v>285</v>
      </c>
      <c r="B157" s="154">
        <f t="shared" si="18"/>
        <v>152</v>
      </c>
      <c r="C157" s="10" t="s">
        <v>1478</v>
      </c>
      <c r="D157" s="10">
        <v>1</v>
      </c>
      <c r="E157" s="10">
        <v>1</v>
      </c>
      <c r="F157" s="1223"/>
      <c r="G157" s="10" t="s">
        <v>258</v>
      </c>
      <c r="H157" s="10" t="s">
        <v>260</v>
      </c>
      <c r="I157" s="1212">
        <v>6000</v>
      </c>
      <c r="J157" s="1212">
        <v>6000</v>
      </c>
      <c r="K157" s="21">
        <f>VLOOKUP(Tabelle1[[#This Row],[Titel]],[2]Haushalt!$A:$S,19,FALSE)</f>
        <v>3211.4</v>
      </c>
      <c r="L157" s="21">
        <v>8000</v>
      </c>
      <c r="M157" s="940">
        <f>VLOOKUP(Tabelle1[[#This Row],[Titel]],[3]Haushalt!$A$8:$W$282,8,FALSE)</f>
        <v>3595.3</v>
      </c>
      <c r="N157" s="21">
        <v>2500</v>
      </c>
      <c r="O157" s="21">
        <v>2500</v>
      </c>
      <c r="P157" s="751">
        <v>1810.85</v>
      </c>
      <c r="Q157" s="21"/>
      <c r="R157" s="21"/>
      <c r="S157" s="21">
        <f>HHJ_2022_2023!H120</f>
        <v>30.38</v>
      </c>
      <c r="T157" s="21">
        <f>HHJ_2022_2023!J120</f>
        <v>173.17</v>
      </c>
      <c r="U157" s="21">
        <f>HHJ_2022_2023!L120</f>
        <v>486.77</v>
      </c>
      <c r="V157" s="14"/>
      <c r="Y157" s="6"/>
    </row>
    <row r="158" spans="1:29" outlineLevel="2" x14ac:dyDescent="0.3">
      <c r="A158" s="202" t="s">
        <v>286</v>
      </c>
      <c r="B158" s="154">
        <f t="shared" si="18"/>
        <v>153</v>
      </c>
      <c r="C158" s="10" t="s">
        <v>1478</v>
      </c>
      <c r="D158" s="10">
        <v>1</v>
      </c>
      <c r="E158" s="10">
        <v>3</v>
      </c>
      <c r="F158" s="1223"/>
      <c r="G158" s="10" t="s">
        <v>257</v>
      </c>
      <c r="H158" s="13" t="s">
        <v>287</v>
      </c>
      <c r="I158" s="1212">
        <v>3000</v>
      </c>
      <c r="J158" s="1212">
        <v>2000</v>
      </c>
      <c r="K158" s="1076">
        <f>VLOOKUP(Tabelle1[[#This Row],[Titel]],[2]Haushalt!$A:$S,19,FALSE)</f>
        <v>1170.47</v>
      </c>
      <c r="L158" s="1076">
        <f>Referatspläne!F4</f>
        <v>2548</v>
      </c>
      <c r="M158" s="944">
        <f>VLOOKUP(Tabelle1[[#This Row],[Titel]],[3]Haushalt!$A$8:$W$282,8,FALSE)</f>
        <v>1080.08</v>
      </c>
      <c r="N158" s="21">
        <v>5050</v>
      </c>
      <c r="O158" s="21">
        <f>Referatspläne!F2</f>
        <v>2500</v>
      </c>
      <c r="P158" s="751">
        <v>732.35</v>
      </c>
      <c r="Q158" s="21"/>
      <c r="R158" s="21"/>
      <c r="S158" s="21">
        <f>HHJ_2022_2023!H119</f>
        <v>30.39</v>
      </c>
      <c r="T158" s="21">
        <f>HHJ_2022_2023!J119</f>
        <v>121.59</v>
      </c>
      <c r="U158" s="21">
        <f>HHJ_2022_2023!L119</f>
        <v>206</v>
      </c>
      <c r="V158" s="14"/>
      <c r="W158" s="247"/>
      <c r="X158" s="6"/>
      <c r="Y158" s="6"/>
      <c r="Z158" s="247"/>
      <c r="AA158" s="247"/>
      <c r="AB158" s="247"/>
      <c r="AC158" s="247"/>
    </row>
    <row r="159" spans="1:29" outlineLevel="2" x14ac:dyDescent="0.3">
      <c r="A159" s="202" t="s">
        <v>288</v>
      </c>
      <c r="B159" s="154">
        <f t="shared" si="18"/>
        <v>154</v>
      </c>
      <c r="C159" s="1228" t="s">
        <v>1478</v>
      </c>
      <c r="D159" s="10">
        <v>1</v>
      </c>
      <c r="E159" s="10">
        <v>3</v>
      </c>
      <c r="F159" s="1223"/>
      <c r="G159" s="10" t="s">
        <v>261</v>
      </c>
      <c r="H159" s="10" t="s">
        <v>289</v>
      </c>
      <c r="I159" s="1212">
        <v>500</v>
      </c>
      <c r="J159" s="1212">
        <v>500</v>
      </c>
      <c r="K159" s="21">
        <f>VLOOKUP(Tabelle1[[#This Row],[Titel]],[2]Haushalt!$A:$S,19,FALSE)</f>
        <v>0</v>
      </c>
      <c r="L159" s="21">
        <v>1000</v>
      </c>
      <c r="M159" s="940">
        <f>VLOOKUP(Tabelle1[[#This Row],[Titel]],[3]Haushalt!$A$8:$W$282,8,FALSE)</f>
        <v>214.9</v>
      </c>
      <c r="N159" s="21">
        <v>1000</v>
      </c>
      <c r="O159" s="21">
        <v>100</v>
      </c>
      <c r="P159" s="751">
        <v>0</v>
      </c>
      <c r="Q159" s="21"/>
      <c r="R159" s="21"/>
      <c r="S159" s="21">
        <f>HHJ_2022_2023!H121</f>
        <v>0</v>
      </c>
      <c r="T159" s="21">
        <f>HHJ_2022_2023!J121</f>
        <v>0</v>
      </c>
      <c r="U159" s="21">
        <f>HHJ_2022_2023!L121</f>
        <v>0</v>
      </c>
      <c r="V159" s="14"/>
      <c r="Y159" s="6"/>
    </row>
    <row r="160" spans="1:29" outlineLevel="2" x14ac:dyDescent="0.3">
      <c r="A160" s="202" t="s">
        <v>290</v>
      </c>
      <c r="B160" s="154">
        <f t="shared" si="18"/>
        <v>155</v>
      </c>
      <c r="C160" s="10"/>
      <c r="D160" s="10"/>
      <c r="E160" s="10"/>
      <c r="F160" s="1223"/>
      <c r="G160" s="10"/>
      <c r="H160" s="10" t="s">
        <v>291</v>
      </c>
      <c r="I160" s="749">
        <f>SUBTOTAL(9,I161:I165)</f>
        <v>2500</v>
      </c>
      <c r="J160" s="749">
        <f>SUBTOTAL(9,J161:J165)</f>
        <v>2550</v>
      </c>
      <c r="K160" s="749">
        <f>VLOOKUP(Tabelle1[[#This Row],[Titel]],[2]Haushalt!$A:$S,19,FALSE)</f>
        <v>215.97</v>
      </c>
      <c r="L160" s="749">
        <f>SUBTOTAL(9,L161:L165)</f>
        <v>4450</v>
      </c>
      <c r="M160" s="943">
        <f>VLOOKUP(Tabelle1[[#This Row],[Titel]],[3]Haushalt!$A$8:$W$282,8,FALSE)</f>
        <v>214.9</v>
      </c>
      <c r="N160" s="749">
        <f>SUBTOTAL(9,N161:N165)</f>
        <v>3750</v>
      </c>
      <c r="O160" s="749">
        <f>SUBTOTAL(9,O161:O165)</f>
        <v>1550</v>
      </c>
      <c r="P160" s="749">
        <f>SUBTOTAL(9,P161:P165)</f>
        <v>142.19</v>
      </c>
      <c r="Q160" s="21"/>
      <c r="R160" s="21"/>
      <c r="S160" s="749">
        <f>SUBTOTAL(9,S161:S165)</f>
        <v>0</v>
      </c>
      <c r="T160" s="749">
        <f>SUBTOTAL(9,T161:T165)</f>
        <v>200</v>
      </c>
      <c r="U160" s="749">
        <f>SUBTOTAL(9,U161:U165)</f>
        <v>200.67400000000001</v>
      </c>
      <c r="V160" s="14"/>
      <c r="X160" s="6"/>
      <c r="Y160" s="6"/>
    </row>
    <row r="161" spans="1:25" outlineLevel="3" x14ac:dyDescent="0.3">
      <c r="A161" s="203" t="s">
        <v>292</v>
      </c>
      <c r="B161" s="155">
        <f t="shared" si="18"/>
        <v>156</v>
      </c>
      <c r="C161" s="10" t="s">
        <v>1478</v>
      </c>
      <c r="D161" s="10">
        <v>1</v>
      </c>
      <c r="E161" s="10">
        <v>5</v>
      </c>
      <c r="F161" s="1223"/>
      <c r="G161" s="10" t="s">
        <v>1198</v>
      </c>
      <c r="H161" s="13" t="s">
        <v>268</v>
      </c>
      <c r="I161" s="1212">
        <v>500</v>
      </c>
      <c r="J161" s="1212">
        <v>2000</v>
      </c>
      <c r="K161" s="21">
        <f>VLOOKUP(Tabelle1[[#This Row],[Titel]],[2]Haushalt!$A:$S,19,FALSE)</f>
        <v>4.59</v>
      </c>
      <c r="L161" s="21">
        <f>WiWi!G14</f>
        <v>2000</v>
      </c>
      <c r="M161" s="944">
        <f>VLOOKUP(Tabelle1[[#This Row],[Titel]],[3]Haushalt!$A$8:$W$282,8,FALSE)</f>
        <v>14.9</v>
      </c>
      <c r="N161" s="21">
        <v>1000</v>
      </c>
      <c r="O161" s="21">
        <f>WiWi!K14</f>
        <v>200</v>
      </c>
      <c r="P161" s="751">
        <f>WiWi!L14</f>
        <v>118.19</v>
      </c>
      <c r="Q161" s="21"/>
      <c r="R161" s="21"/>
      <c r="S161" s="21">
        <f>HHJ_2022_2023!H203*0.1</f>
        <v>0</v>
      </c>
      <c r="T161" s="21">
        <f>HHJ_2022_2023!J203*0.1</f>
        <v>0</v>
      </c>
      <c r="U161" s="21">
        <f>HHJ_2022_2023!L203*0.1</f>
        <v>0.67400000000000004</v>
      </c>
      <c r="V161" s="14"/>
      <c r="Y161" s="6"/>
    </row>
    <row r="162" spans="1:25" outlineLevel="3" x14ac:dyDescent="0.3">
      <c r="A162" s="203" t="s">
        <v>294</v>
      </c>
      <c r="B162" s="155">
        <f t="shared" si="18"/>
        <v>157</v>
      </c>
      <c r="C162" s="10" t="s">
        <v>1478</v>
      </c>
      <c r="D162" s="10">
        <v>1</v>
      </c>
      <c r="E162" s="10">
        <v>6</v>
      </c>
      <c r="F162" s="1223"/>
      <c r="G162" s="10" t="s">
        <v>295</v>
      </c>
      <c r="H162" s="13" t="s">
        <v>271</v>
      </c>
      <c r="I162" s="1212">
        <v>500</v>
      </c>
      <c r="J162" s="1212">
        <v>100</v>
      </c>
      <c r="K162" s="21">
        <f>VLOOKUP(Tabelle1[[#This Row],[Titel]],[2]Haushalt!$A:$S,19,FALSE)</f>
        <v>0</v>
      </c>
      <c r="L162" s="21">
        <f>KSW!E14</f>
        <v>1200</v>
      </c>
      <c r="M162" s="944">
        <f>VLOOKUP(Tabelle1[[#This Row],[Titel]],[3]Haushalt!$A$8:$W$282,8,FALSE)</f>
        <v>0</v>
      </c>
      <c r="N162" s="21">
        <v>1200</v>
      </c>
      <c r="O162" s="21">
        <f>KSW!I14</f>
        <v>100</v>
      </c>
      <c r="P162" s="751">
        <f>KSW!J14</f>
        <v>0</v>
      </c>
      <c r="Q162" s="21"/>
      <c r="R162" s="21"/>
      <c r="S162" s="21">
        <f>HHJ_2022_2023!H213</f>
        <v>0</v>
      </c>
      <c r="T162" s="21">
        <f>HHJ_2022_2023!J213</f>
        <v>0</v>
      </c>
      <c r="U162" s="21">
        <f>HHJ_2022_2023!L213</f>
        <v>0</v>
      </c>
      <c r="V162" s="14"/>
      <c r="X162" s="6"/>
      <c r="Y162" s="6"/>
    </row>
    <row r="163" spans="1:25" outlineLevel="3" x14ac:dyDescent="0.3">
      <c r="A163" s="203" t="s">
        <v>296</v>
      </c>
      <c r="B163" s="155">
        <f t="shared" si="18"/>
        <v>158</v>
      </c>
      <c r="C163" s="10" t="s">
        <v>1478</v>
      </c>
      <c r="D163" s="10">
        <v>1</v>
      </c>
      <c r="E163" s="10">
        <v>7</v>
      </c>
      <c r="F163" s="1223"/>
      <c r="G163" s="10" t="s">
        <v>297</v>
      </c>
      <c r="H163" s="13" t="s">
        <v>274</v>
      </c>
      <c r="I163" s="1212">
        <v>500</v>
      </c>
      <c r="J163" s="1212">
        <v>100</v>
      </c>
      <c r="K163" s="21">
        <f>VLOOKUP(Tabelle1[[#This Row],[Titel]],[2]Haushalt!$A:$S,19,FALSE)</f>
        <v>0</v>
      </c>
      <c r="L163" s="21">
        <f>PSY!E14</f>
        <v>500</v>
      </c>
      <c r="M163" s="944">
        <f>VLOOKUP(Tabelle1[[#This Row],[Titel]],[3]Haushalt!$A$8:$W$282,8,FALSE)</f>
        <v>200</v>
      </c>
      <c r="N163" s="21">
        <v>400</v>
      </c>
      <c r="O163" s="21">
        <f>PSY!I14</f>
        <v>500</v>
      </c>
      <c r="P163" s="751">
        <f>PSY!J14</f>
        <v>0</v>
      </c>
      <c r="Q163" s="21"/>
      <c r="R163" s="21"/>
      <c r="S163" s="21">
        <f>HHJ_2022_2023!H223</f>
        <v>0</v>
      </c>
      <c r="T163" s="21">
        <f>HHJ_2022_2023!J223</f>
        <v>200</v>
      </c>
      <c r="U163" s="21">
        <f>HHJ_2022_2023!L223</f>
        <v>200</v>
      </c>
      <c r="V163" s="14"/>
      <c r="Y163" s="6"/>
    </row>
    <row r="164" spans="1:25" outlineLevel="3" x14ac:dyDescent="0.3">
      <c r="A164" s="203" t="s">
        <v>298</v>
      </c>
      <c r="B164" s="155">
        <f t="shared" si="18"/>
        <v>159</v>
      </c>
      <c r="C164" s="10" t="s">
        <v>1478</v>
      </c>
      <c r="D164" s="10">
        <v>1</v>
      </c>
      <c r="E164" s="10">
        <v>8</v>
      </c>
      <c r="F164" s="1223"/>
      <c r="G164" s="10" t="s">
        <v>299</v>
      </c>
      <c r="H164" s="13" t="s">
        <v>277</v>
      </c>
      <c r="I164" s="1212">
        <v>500</v>
      </c>
      <c r="J164" s="1212">
        <v>100</v>
      </c>
      <c r="K164" s="21">
        <f>VLOOKUP(Tabelle1[[#This Row],[Titel]],[2]Haushalt!$A:$S,19,FALSE)</f>
        <v>32</v>
      </c>
      <c r="L164" s="21">
        <f>ReWi!E14</f>
        <v>500</v>
      </c>
      <c r="M164" s="944">
        <f>VLOOKUP(Tabelle1[[#This Row],[Titel]],[3]Haushalt!$A$8:$W$282,8,FALSE)</f>
        <v>0</v>
      </c>
      <c r="N164" s="21">
        <v>500</v>
      </c>
      <c r="O164" s="21">
        <f>ReWi!I14</f>
        <v>500</v>
      </c>
      <c r="P164" s="751">
        <f>ReWi!J14</f>
        <v>24</v>
      </c>
      <c r="Q164" s="21"/>
      <c r="R164" s="21"/>
      <c r="S164" s="21">
        <f>HHJ_2022_2023!H233</f>
        <v>0</v>
      </c>
      <c r="T164" s="21">
        <f>HHJ_2022_2023!J233</f>
        <v>0</v>
      </c>
      <c r="U164" s="21">
        <f>HHJ_2022_2023!L233</f>
        <v>0</v>
      </c>
      <c r="V164" s="14"/>
      <c r="X164" s="6"/>
      <c r="Y164" s="6"/>
    </row>
    <row r="165" spans="1:25" outlineLevel="3" x14ac:dyDescent="0.3">
      <c r="A165" s="203" t="s">
        <v>300</v>
      </c>
      <c r="B165" s="155">
        <f t="shared" si="18"/>
        <v>160</v>
      </c>
      <c r="C165" s="10" t="s">
        <v>1478</v>
      </c>
      <c r="D165" s="10">
        <v>1</v>
      </c>
      <c r="E165" s="10">
        <v>9</v>
      </c>
      <c r="F165" s="1223"/>
      <c r="G165" s="10" t="s">
        <v>301</v>
      </c>
      <c r="H165" s="13" t="s">
        <v>280</v>
      </c>
      <c r="I165" s="1212">
        <v>500</v>
      </c>
      <c r="J165" s="1212">
        <v>250</v>
      </c>
      <c r="K165" s="21">
        <f>VLOOKUP(Tabelle1[[#This Row],[Titel]],[2]Haushalt!$A:$S,19,FALSE)</f>
        <v>179.38</v>
      </c>
      <c r="L165" s="21">
        <f>M_I!G14</f>
        <v>250</v>
      </c>
      <c r="M165" s="944">
        <f>VLOOKUP(Tabelle1[[#This Row],[Titel]],[3]Haushalt!$A$8:$W$282,8,FALSE)</f>
        <v>0</v>
      </c>
      <c r="N165" s="21">
        <v>650</v>
      </c>
      <c r="O165" s="21">
        <f>M_I!K14</f>
        <v>250</v>
      </c>
      <c r="P165" s="751">
        <f>M_I!L14</f>
        <v>0</v>
      </c>
      <c r="Q165" s="21"/>
      <c r="R165" s="21"/>
      <c r="S165" s="21">
        <f>HHJ_2022_2023!H243</f>
        <v>0</v>
      </c>
      <c r="T165" s="21">
        <f>HHJ_2022_2023!J243</f>
        <v>0</v>
      </c>
      <c r="U165" s="21">
        <f>HHJ_2022_2023!L243</f>
        <v>0</v>
      </c>
      <c r="V165" s="14"/>
      <c r="Y165" s="6"/>
    </row>
    <row r="166" spans="1:25" outlineLevel="2" x14ac:dyDescent="0.3">
      <c r="A166" s="202" t="s">
        <v>302</v>
      </c>
      <c r="B166" s="154">
        <f t="shared" si="18"/>
        <v>161</v>
      </c>
      <c r="C166" s="1228" t="s">
        <v>1478</v>
      </c>
      <c r="D166" s="10">
        <v>1</v>
      </c>
      <c r="E166" s="10"/>
      <c r="F166" s="1223"/>
      <c r="G166" s="10" t="s">
        <v>303</v>
      </c>
      <c r="H166" s="10" t="s">
        <v>151</v>
      </c>
      <c r="I166" s="21">
        <v>1000</v>
      </c>
      <c r="J166" s="1212">
        <v>400</v>
      </c>
      <c r="K166" s="21">
        <f>VLOOKUP(Tabelle1[[#This Row],[Titel]],[2]Haushalt!$A:$S,19,FALSE)</f>
        <v>159.62</v>
      </c>
      <c r="L166" s="21">
        <v>1500</v>
      </c>
      <c r="M166" s="940">
        <f>VLOOKUP(Tabelle1[[#This Row],[Titel]],[3]Haushalt!$A$8:$W$282,8,FALSE)</f>
        <v>0</v>
      </c>
      <c r="N166" s="21">
        <v>500</v>
      </c>
      <c r="O166" s="21">
        <v>200</v>
      </c>
      <c r="P166" s="751">
        <v>8.98</v>
      </c>
      <c r="Q166" s="21"/>
      <c r="R166" s="21"/>
      <c r="S166" s="21">
        <f>HHJ_2022_2023!H196</f>
        <v>0</v>
      </c>
      <c r="T166" s="21">
        <f>HHJ_2022_2023!J196</f>
        <v>0</v>
      </c>
      <c r="U166" s="21">
        <f>HHJ_2022_2023!L196</f>
        <v>0</v>
      </c>
      <c r="V166" s="14"/>
      <c r="X166" s="6"/>
      <c r="Y166" s="6"/>
    </row>
    <row r="167" spans="1:25" outlineLevel="1" x14ac:dyDescent="0.3">
      <c r="B167" s="151">
        <f t="shared" si="18"/>
        <v>162</v>
      </c>
      <c r="C167"/>
      <c r="D167"/>
      <c r="E167"/>
      <c r="M167" s="33"/>
      <c r="Q167" s="14"/>
      <c r="R167" s="14"/>
      <c r="S167" s="14"/>
      <c r="T167" s="14"/>
      <c r="U167" s="14"/>
      <c r="V167" s="14"/>
      <c r="Y167" s="6"/>
    </row>
    <row r="168" spans="1:25" outlineLevel="1" x14ac:dyDescent="0.3">
      <c r="A168" s="201" t="s">
        <v>304</v>
      </c>
      <c r="B168" s="153">
        <f t="shared" si="18"/>
        <v>163</v>
      </c>
      <c r="C168" s="9"/>
      <c r="D168" s="9"/>
      <c r="E168" s="9"/>
      <c r="F168" s="1227"/>
      <c r="G168" s="9"/>
      <c r="H168" s="9" t="s">
        <v>1479</v>
      </c>
      <c r="I168" s="20">
        <f>SUBTOTAL(9,I169:I172)</f>
        <v>200000</v>
      </c>
      <c r="J168" s="20">
        <f>SUBTOTAL(9,J169:J172)</f>
        <v>1700</v>
      </c>
      <c r="K168" s="20">
        <f>VLOOKUP(Tabelle1[[#This Row],[Titel]],[2]Haushalt!$A:$S,19,FALSE)</f>
        <v>785.78</v>
      </c>
      <c r="L168" s="20">
        <f>SUBTOTAL(9,L169:L172)</f>
        <v>4000</v>
      </c>
      <c r="M168" s="752">
        <f>VLOOKUP(Tabelle1[[#This Row],[Titel]],[3]Haushalt!$A$8:$W$282,8,FALSE)</f>
        <v>560.08000000000004</v>
      </c>
      <c r="N168" s="20">
        <f>SUBTOTAL(9,N169:N172)</f>
        <v>214000</v>
      </c>
      <c r="O168" s="20">
        <f>SUBTOTAL(9,O169:O172)</f>
        <v>364000</v>
      </c>
      <c r="P168" s="20">
        <f>SUBTOTAL(9,P169:P172)</f>
        <v>312651.59999999998</v>
      </c>
      <c r="Q168" s="20"/>
      <c r="R168" s="20"/>
      <c r="S168" s="20">
        <f>SUBTOTAL(9,S169:S172)</f>
        <v>0</v>
      </c>
      <c r="T168" s="20">
        <f>SUBTOTAL(9,T169:T172)</f>
        <v>0</v>
      </c>
      <c r="U168" s="20">
        <f>SUBTOTAL(9,U169:U172)</f>
        <v>231.39</v>
      </c>
      <c r="V168" s="14"/>
      <c r="X168" s="6"/>
      <c r="Y168" s="6"/>
    </row>
    <row r="169" spans="1:25" hidden="1" outlineLevel="2" x14ac:dyDescent="0.3">
      <c r="A169" s="202" t="s">
        <v>305</v>
      </c>
      <c r="B169" s="154">
        <f t="shared" si="18"/>
        <v>164</v>
      </c>
      <c r="C169" s="10">
        <v>6630</v>
      </c>
      <c r="D169" s="10">
        <v>1</v>
      </c>
      <c r="E169" s="10">
        <v>3</v>
      </c>
      <c r="F169" s="1223"/>
      <c r="G169" s="10" t="s">
        <v>285</v>
      </c>
      <c r="H169" s="10" t="s">
        <v>1485</v>
      </c>
      <c r="I169" s="1212">
        <v>97000</v>
      </c>
      <c r="J169" s="1212">
        <v>0</v>
      </c>
      <c r="K169" s="21">
        <f>VLOOKUP(Tabelle1[[#This Row],[Titel]],[2]Haushalt!$A:$S,19,FALSE)</f>
        <v>0</v>
      </c>
      <c r="L169" s="21">
        <v>0</v>
      </c>
      <c r="M169" s="940">
        <f>VLOOKUP(Tabelle1[[#This Row],[Titel]],[3]Haushalt!$A$8:$W$282,8,FALSE)</f>
        <v>0</v>
      </c>
      <c r="N169" s="21">
        <v>85000</v>
      </c>
      <c r="O169" s="21">
        <v>155000</v>
      </c>
      <c r="P169" s="751">
        <v>126134.02</v>
      </c>
      <c r="Q169" s="21"/>
      <c r="R169" s="21"/>
      <c r="S169" s="21">
        <f>HHJ_2022_2023!H123</f>
        <v>0</v>
      </c>
      <c r="T169" s="21">
        <f>HHJ_2022_2023!J123</f>
        <v>0</v>
      </c>
      <c r="U169" s="21">
        <f>HHJ_2022_2023!L123</f>
        <v>0</v>
      </c>
      <c r="V169" s="14"/>
      <c r="W169" t="s">
        <v>1322</v>
      </c>
      <c r="Y169" s="6"/>
    </row>
    <row r="170" spans="1:25" hidden="1" outlineLevel="2" x14ac:dyDescent="0.3">
      <c r="A170" s="202" t="s">
        <v>306</v>
      </c>
      <c r="B170" s="154">
        <f t="shared" si="18"/>
        <v>165</v>
      </c>
      <c r="C170" s="10">
        <v>6630</v>
      </c>
      <c r="D170" s="10">
        <v>1</v>
      </c>
      <c r="E170" s="10">
        <v>3</v>
      </c>
      <c r="F170" s="1223"/>
      <c r="G170" s="10" t="s">
        <v>286</v>
      </c>
      <c r="H170" s="10" t="s">
        <v>1480</v>
      </c>
      <c r="I170" s="1212">
        <v>97000</v>
      </c>
      <c r="J170" s="1212">
        <v>0</v>
      </c>
      <c r="K170" s="21">
        <f>VLOOKUP(Tabelle1[[#This Row],[Titel]],[2]Haushalt!$A:$S,19,FALSE)</f>
        <v>0</v>
      </c>
      <c r="L170" s="21">
        <v>0</v>
      </c>
      <c r="M170" s="940">
        <f>VLOOKUP(Tabelle1[[#This Row],[Titel]],[3]Haushalt!$A$8:$W$282,8,FALSE)</f>
        <v>0</v>
      </c>
      <c r="N170" s="21">
        <v>125000</v>
      </c>
      <c r="O170" s="21">
        <v>205000</v>
      </c>
      <c r="P170" s="751">
        <v>185309.52</v>
      </c>
      <c r="Q170" s="21"/>
      <c r="R170" s="21"/>
      <c r="S170" s="21">
        <f>HHJ_2022_2023!H124</f>
        <v>0</v>
      </c>
      <c r="T170" s="21">
        <f>HHJ_2022_2023!J124</f>
        <v>0</v>
      </c>
      <c r="U170" s="21">
        <f>HHJ_2022_2023!L124</f>
        <v>0</v>
      </c>
      <c r="V170" s="14"/>
      <c r="X170" s="6"/>
      <c r="Y170" s="6"/>
    </row>
    <row r="171" spans="1:25" hidden="1" outlineLevel="2" x14ac:dyDescent="0.3">
      <c r="A171" s="202" t="s">
        <v>307</v>
      </c>
      <c r="B171" s="154">
        <f t="shared" si="18"/>
        <v>166</v>
      </c>
      <c r="C171" s="10">
        <v>6630</v>
      </c>
      <c r="D171" s="10">
        <v>1</v>
      </c>
      <c r="E171" s="10">
        <v>3</v>
      </c>
      <c r="F171" s="1223"/>
      <c r="G171" s="10" t="s">
        <v>288</v>
      </c>
      <c r="H171" s="10" t="s">
        <v>308</v>
      </c>
      <c r="I171" s="1212">
        <v>4000</v>
      </c>
      <c r="J171" s="1212">
        <v>1600</v>
      </c>
      <c r="K171" s="21">
        <f>VLOOKUP(Tabelle1[[#This Row],[Titel]],[2]Haushalt!$A:$S,19,FALSE)</f>
        <v>785.78</v>
      </c>
      <c r="L171" s="21">
        <v>1000</v>
      </c>
      <c r="M171" s="940">
        <f>VLOOKUP(Tabelle1[[#This Row],[Titel]],[3]Haushalt!$A$8:$W$282,8,FALSE)</f>
        <v>560.08000000000004</v>
      </c>
      <c r="N171" s="21">
        <v>2000</v>
      </c>
      <c r="O171" s="21">
        <v>2000</v>
      </c>
      <c r="P171" s="751">
        <v>1208.06</v>
      </c>
      <c r="Q171" s="21"/>
      <c r="R171" s="21"/>
      <c r="S171" s="21">
        <f>HHJ_2022_2023!H125</f>
        <v>0</v>
      </c>
      <c r="T171" s="21">
        <f>HHJ_2022_2023!J125</f>
        <v>0</v>
      </c>
      <c r="U171" s="21">
        <f>HHJ_2022_2023!L125</f>
        <v>231.39</v>
      </c>
      <c r="V171" s="14"/>
      <c r="Y171" s="6"/>
    </row>
    <row r="172" spans="1:25" hidden="1" outlineLevel="2" x14ac:dyDescent="0.3">
      <c r="A172" s="202" t="s">
        <v>309</v>
      </c>
      <c r="B172" s="154">
        <f t="shared" si="18"/>
        <v>167</v>
      </c>
      <c r="C172" s="10">
        <v>6630</v>
      </c>
      <c r="D172" s="10">
        <v>1</v>
      </c>
      <c r="E172" s="10">
        <v>3</v>
      </c>
      <c r="F172" s="1223"/>
      <c r="G172" s="10" t="s">
        <v>290</v>
      </c>
      <c r="H172" s="10" t="s">
        <v>310</v>
      </c>
      <c r="I172" s="1212">
        <v>2000</v>
      </c>
      <c r="J172" s="1212">
        <v>100</v>
      </c>
      <c r="K172" s="21">
        <f>VLOOKUP(Tabelle1[[#This Row],[Titel]],[2]Haushalt!$A:$S,19,FALSE)</f>
        <v>0</v>
      </c>
      <c r="L172" s="21">
        <v>3000</v>
      </c>
      <c r="M172" s="940">
        <f>VLOOKUP(Tabelle1[[#This Row],[Titel]],[3]Haushalt!$A$8:$W$282,8,FALSE)</f>
        <v>0</v>
      </c>
      <c r="N172" s="21">
        <v>2000</v>
      </c>
      <c r="O172" s="21">
        <v>2000</v>
      </c>
      <c r="P172" s="751">
        <v>0</v>
      </c>
      <c r="Q172" s="21"/>
      <c r="R172" s="21"/>
      <c r="S172" s="21">
        <f>HHJ_2022_2023!H126</f>
        <v>0</v>
      </c>
      <c r="T172" s="21">
        <f>HHJ_2022_2023!J126</f>
        <v>0</v>
      </c>
      <c r="U172" s="21">
        <f>HHJ_2022_2023!L126</f>
        <v>0</v>
      </c>
      <c r="V172" s="14"/>
      <c r="X172" s="6"/>
      <c r="Y172" s="6"/>
    </row>
    <row r="173" spans="1:25" outlineLevel="1" collapsed="1" x14ac:dyDescent="0.3">
      <c r="B173" s="151">
        <f t="shared" si="18"/>
        <v>168</v>
      </c>
      <c r="C173"/>
      <c r="D173"/>
      <c r="E173"/>
      <c r="M173" s="33"/>
      <c r="Q173" s="14"/>
      <c r="R173" s="14"/>
      <c r="S173" s="14"/>
      <c r="T173" s="14"/>
      <c r="U173" s="14"/>
      <c r="V173" s="14"/>
      <c r="Y173" s="6"/>
    </row>
    <row r="174" spans="1:25" outlineLevel="1" x14ac:dyDescent="0.3">
      <c r="A174" s="201" t="s">
        <v>311</v>
      </c>
      <c r="B174" s="153">
        <f t="shared" si="18"/>
        <v>169</v>
      </c>
      <c r="C174" s="9"/>
      <c r="D174" s="9"/>
      <c r="E174" s="9"/>
      <c r="F174" s="1227"/>
      <c r="G174" s="9"/>
      <c r="H174" s="9" t="s">
        <v>312</v>
      </c>
      <c r="I174" s="20">
        <f>SUBTOTAL(9,I175:I181)</f>
        <v>54600</v>
      </c>
      <c r="J174" s="20">
        <f>SUBTOTAL(9,J175:J181)</f>
        <v>18500</v>
      </c>
      <c r="K174" s="20">
        <f>VLOOKUP(Tabelle1[[#This Row],[Titel]],[2]Haushalt!$A:$S,19,FALSE)</f>
        <v>10193.42</v>
      </c>
      <c r="L174" s="20">
        <f>SUBTOTAL(9,L175:L181)</f>
        <v>118814</v>
      </c>
      <c r="M174" s="752">
        <f>VLOOKUP(Tabelle1[[#This Row],[Titel]],[3]Haushalt!$A$8:$W$282,8,FALSE)</f>
        <v>9955.7900000000009</v>
      </c>
      <c r="N174" s="20">
        <f>SUBTOTAL(9,N175:N181)</f>
        <v>52910</v>
      </c>
      <c r="O174" s="20">
        <f>SUBTOTAL(9,O175:O181)</f>
        <v>49100</v>
      </c>
      <c r="P174" s="20">
        <f>SUBTOTAL(9,P175:P181)</f>
        <v>5988.9299999999994</v>
      </c>
      <c r="Q174" s="20"/>
      <c r="R174" s="20"/>
      <c r="S174" s="20">
        <f>SUBTOTAL(9,S175:S181)</f>
        <v>129</v>
      </c>
      <c r="T174" s="20">
        <f>SUBTOTAL(9,T175:T181)</f>
        <v>168</v>
      </c>
      <c r="U174" s="20">
        <f>SUBTOTAL(9,U175:U181)</f>
        <v>334.48</v>
      </c>
      <c r="V174" s="14"/>
      <c r="X174" s="6"/>
      <c r="Y174" s="6"/>
    </row>
    <row r="175" spans="1:25" outlineLevel="2" x14ac:dyDescent="0.3">
      <c r="A175" s="202" t="s">
        <v>313</v>
      </c>
      <c r="B175" s="154">
        <f t="shared" si="18"/>
        <v>170</v>
      </c>
      <c r="C175" s="10">
        <v>6307</v>
      </c>
      <c r="D175" s="10">
        <v>3</v>
      </c>
      <c r="E175" s="10">
        <v>3</v>
      </c>
      <c r="F175" s="1223"/>
      <c r="G175" s="10" t="s">
        <v>314</v>
      </c>
      <c r="H175" s="13" t="s">
        <v>315</v>
      </c>
      <c r="I175" s="1212">
        <v>3000</v>
      </c>
      <c r="J175" s="1212">
        <v>1000</v>
      </c>
      <c r="K175" s="21">
        <f>VLOOKUP(Tabelle1[[#This Row],[Titel]],[2]Haushalt!$A:$S,19,FALSE)</f>
        <v>549.88100000000009</v>
      </c>
      <c r="L175" s="21">
        <f>Referatspläne!B4</f>
        <v>19390</v>
      </c>
      <c r="M175" s="944">
        <f>VLOOKUP(Tabelle1[[#This Row],[Titel]],[3]Haushalt!$A$8:$W$282,8,FALSE)</f>
        <v>129.25</v>
      </c>
      <c r="N175" s="21">
        <v>9180</v>
      </c>
      <c r="O175" s="21">
        <f>Referatspläne!B2</f>
        <v>1150</v>
      </c>
      <c r="P175" s="751">
        <v>0</v>
      </c>
      <c r="Q175" s="21"/>
      <c r="R175" s="21"/>
      <c r="S175" s="21">
        <f>(HHJ_2022_2023!H153*0.1)+(HHJ_2022_2023!H161*0.1)+(HHJ_2022_2023!H171*0.1)</f>
        <v>0</v>
      </c>
      <c r="T175" s="21">
        <f>(HHJ_2022_2023!J153*0.1)+(HHJ_2022_2023!J161*0.1)+(HHJ_2022_2023!J171*0.1)</f>
        <v>0</v>
      </c>
      <c r="U175" s="21">
        <f>(HHJ_2022_2023!L153*0.1)+(HHJ_2022_2023!L161*0.1)+(HHJ_2022_2023!L171*0.1)</f>
        <v>0</v>
      </c>
      <c r="V175" s="14"/>
      <c r="Y175" s="6"/>
    </row>
    <row r="176" spans="1:25" outlineLevel="2" x14ac:dyDescent="0.3">
      <c r="A176" s="202" t="s">
        <v>316</v>
      </c>
      <c r="B176" s="154">
        <f t="shared" si="18"/>
        <v>171</v>
      </c>
      <c r="C176" s="10">
        <v>6307</v>
      </c>
      <c r="D176" s="10">
        <v>1</v>
      </c>
      <c r="E176" s="10">
        <v>3</v>
      </c>
      <c r="F176" s="1223"/>
      <c r="G176" s="10" t="s">
        <v>317</v>
      </c>
      <c r="H176" s="13" t="s">
        <v>318</v>
      </c>
      <c r="I176" s="1212">
        <v>8000</v>
      </c>
      <c r="J176" s="1212">
        <v>5000</v>
      </c>
      <c r="K176" s="21">
        <f>VLOOKUP(Tabelle1[[#This Row],[Titel]],[2]Haushalt!$A:$S,19,FALSE)</f>
        <v>3849.1669999999999</v>
      </c>
      <c r="L176" s="21">
        <f>Referatspläne!C4</f>
        <v>13770</v>
      </c>
      <c r="M176" s="944">
        <f>VLOOKUP(Tabelle1[[#This Row],[Titel]],[3]Haushalt!$A$8:$W$282,8,FALSE)</f>
        <v>904.75</v>
      </c>
      <c r="N176" s="21">
        <v>10200</v>
      </c>
      <c r="O176" s="21">
        <f>Referatspläne!C2</f>
        <v>8050</v>
      </c>
      <c r="P176" s="751">
        <v>4792.2</v>
      </c>
      <c r="Q176" s="21"/>
      <c r="R176" s="21"/>
      <c r="S176" s="21">
        <f>(HHJ_2022_2023!H153*0.7)+(HHJ_2022_2023!H161*0.7)+(HHJ_2022_2023!H171*0.7)</f>
        <v>0</v>
      </c>
      <c r="T176" s="21">
        <f>(HHJ_2022_2023!J153*0.7)+(HHJ_2022_2023!J161*0.7)+(HHJ_2022_2023!J171*0.7)</f>
        <v>0</v>
      </c>
      <c r="U176" s="21">
        <f>(HHJ_2022_2023!L153*0.7)+(HHJ_2022_2023!L161*0.7)+(HHJ_2022_2023!L171*0.7)</f>
        <v>0</v>
      </c>
      <c r="V176" s="14"/>
      <c r="X176" s="6"/>
      <c r="Y176" s="6"/>
    </row>
    <row r="177" spans="1:25" outlineLevel="2" x14ac:dyDescent="0.3">
      <c r="A177" s="202" t="s">
        <v>319</v>
      </c>
      <c r="B177" s="154">
        <f t="shared" si="18"/>
        <v>172</v>
      </c>
      <c r="C177" s="10" t="s">
        <v>1475</v>
      </c>
      <c r="D177" s="10" t="s">
        <v>1481</v>
      </c>
      <c r="E177" s="10">
        <v>3</v>
      </c>
      <c r="F177" s="1223"/>
      <c r="G177" s="10" t="s">
        <v>320</v>
      </c>
      <c r="H177" s="13" t="s">
        <v>321</v>
      </c>
      <c r="I177" s="1212">
        <v>6100</v>
      </c>
      <c r="J177" s="1212">
        <v>1500</v>
      </c>
      <c r="K177" s="21">
        <f>VLOOKUP(Tabelle1[[#This Row],[Titel]],[2]Haushalt!$A:$S,19,FALSE)</f>
        <v>1099.7620000000002</v>
      </c>
      <c r="L177" s="21">
        <f>Referatspläne!E4</f>
        <v>2900</v>
      </c>
      <c r="M177" s="944">
        <f>VLOOKUP(Tabelle1[[#This Row],[Titel]],[3]Haushalt!$A$8:$W$282,8,FALSE)</f>
        <v>258.5</v>
      </c>
      <c r="N177" s="21">
        <v>3850</v>
      </c>
      <c r="O177" s="21">
        <f>Referatspläne!E2</f>
        <v>2300</v>
      </c>
      <c r="P177" s="751">
        <v>0</v>
      </c>
      <c r="Q177" s="21"/>
      <c r="R177" s="21"/>
      <c r="S177" s="21">
        <f>(HHJ_2022_2023!H153*0.2)+(HHJ_2022_2023!H161*0.2)+(HHJ_2022_2023!H171*0.2)</f>
        <v>0</v>
      </c>
      <c r="T177" s="21">
        <f>(HHJ_2022_2023!J153*0.2)+(HHJ_2022_2023!J161*0.2)+(HHJ_2022_2023!J171*0.2)</f>
        <v>0</v>
      </c>
      <c r="U177" s="21">
        <f>(HHJ_2022_2023!L153*0.2)+(HHJ_2022_2023!L161*0.2)+(HHJ_2022_2023!L171*0.2)</f>
        <v>0</v>
      </c>
      <c r="V177" s="14"/>
      <c r="Y177" s="6"/>
    </row>
    <row r="178" spans="1:25" outlineLevel="2" x14ac:dyDescent="0.3">
      <c r="A178" s="202" t="s">
        <v>322</v>
      </c>
      <c r="B178" s="154">
        <f t="shared" si="18"/>
        <v>173</v>
      </c>
      <c r="C178" s="10" t="s">
        <v>1477</v>
      </c>
      <c r="D178" s="10" t="s">
        <v>1481</v>
      </c>
      <c r="E178" s="10">
        <v>3</v>
      </c>
      <c r="F178" s="1223"/>
      <c r="G178" s="10" t="s">
        <v>323</v>
      </c>
      <c r="H178" s="13" t="s">
        <v>324</v>
      </c>
      <c r="I178" s="1212">
        <v>11000</v>
      </c>
      <c r="J178" s="1212">
        <v>2500</v>
      </c>
      <c r="K178" s="21">
        <f>VLOOKUP(Tabelle1[[#This Row],[Titel]],[2]Haushalt!$A:$S,19,FALSE)</f>
        <v>864.39</v>
      </c>
      <c r="L178" s="21">
        <f>Referatspläne!F4</f>
        <v>2548</v>
      </c>
      <c r="M178" s="944">
        <f>VLOOKUP(Tabelle1[[#This Row],[Titel]],[3]Haushalt!$A$8:$W$282,8,FALSE)</f>
        <v>2250.41</v>
      </c>
      <c r="N178" s="21">
        <v>10100</v>
      </c>
      <c r="O178" s="21">
        <f>Referatspläne!G2</f>
        <v>13500</v>
      </c>
      <c r="P178" s="751">
        <v>541</v>
      </c>
      <c r="Q178" s="21"/>
      <c r="R178" s="21"/>
      <c r="S178" s="21">
        <f>HHJ_2022_2023!H128+HHJ_2022_2023!H129+HHJ_2022_2023!H130+HHJ_2022_2023!H134+HHJ_2022_2023!H156+HHJ_2022_2023!H164+HHJ_2022_2023!H173+HHJ_2022_2023!H165</f>
        <v>90</v>
      </c>
      <c r="T178" s="21">
        <f>HHJ_2022_2023!J128+HHJ_2022_2023!J129+HHJ_2022_2023!J130+HHJ_2022_2023!J134+HHJ_2022_2023!J156+HHJ_2022_2023!J164+HHJ_2022_2023!J173+HHJ_2022_2023!J165</f>
        <v>90</v>
      </c>
      <c r="U178" s="21">
        <f>HHJ_2022_2023!L128+HHJ_2022_2023!L129+HHJ_2022_2023!L130+HHJ_2022_2023!L134+HHJ_2022_2023!L156+HHJ_2022_2023!L164+HHJ_2022_2023!L173+HHJ_2022_2023!L165</f>
        <v>90</v>
      </c>
      <c r="V178" s="14"/>
      <c r="X178" s="6"/>
      <c r="Y178" s="6"/>
    </row>
    <row r="179" spans="1:25" outlineLevel="2" x14ac:dyDescent="0.3">
      <c r="A179" s="202" t="s">
        <v>325</v>
      </c>
      <c r="B179" s="154">
        <f t="shared" si="18"/>
        <v>174</v>
      </c>
      <c r="C179" s="10" t="s">
        <v>1476</v>
      </c>
      <c r="D179" s="10" t="s">
        <v>1481</v>
      </c>
      <c r="E179" s="10">
        <v>3</v>
      </c>
      <c r="F179" s="1223"/>
      <c r="G179" s="10" t="s">
        <v>326</v>
      </c>
      <c r="H179" s="13" t="s">
        <v>327</v>
      </c>
      <c r="I179" s="1212">
        <v>10000</v>
      </c>
      <c r="J179" s="1212">
        <v>5000</v>
      </c>
      <c r="K179" s="21">
        <f>VLOOKUP(Tabelle1[[#This Row],[Titel]],[2]Haushalt!$A:$S,19,FALSE)</f>
        <v>3188.09</v>
      </c>
      <c r="L179" s="21">
        <f>Referatspläne!H4</f>
        <v>22791</v>
      </c>
      <c r="M179" s="944">
        <f>VLOOKUP(Tabelle1[[#This Row],[Titel]],[3]Haushalt!$A$8:$W$282,8,FALSE)</f>
        <v>6246.4</v>
      </c>
      <c r="N179" s="21">
        <v>4730</v>
      </c>
      <c r="O179" s="21">
        <f>Referatspläne!I2</f>
        <v>22000</v>
      </c>
      <c r="P179" s="751">
        <v>468</v>
      </c>
      <c r="Q179" s="21"/>
      <c r="R179" s="21"/>
      <c r="S179" s="21">
        <f>HHJ_2022_2023!H132+HHJ_2022_2023!H154+HHJ_2022_2023!H155+HHJ_2022_2023!H162+HHJ_2022_2023!H163+HHJ_2022_2023!H174</f>
        <v>39</v>
      </c>
      <c r="T179" s="21">
        <f>HHJ_2022_2023!J132+HHJ_2022_2023!J154+HHJ_2022_2023!J155+HHJ_2022_2023!J162+HHJ_2022_2023!J163+HHJ_2022_2023!J174</f>
        <v>78</v>
      </c>
      <c r="U179" s="21">
        <f>HHJ_2022_2023!L132+HHJ_2022_2023!L154+HHJ_2022_2023!L155+HHJ_2022_2023!L162+HHJ_2022_2023!L163+HHJ_2022_2023!L174</f>
        <v>78</v>
      </c>
      <c r="V179" s="14"/>
      <c r="Y179" s="6"/>
    </row>
    <row r="180" spans="1:25" outlineLevel="2" x14ac:dyDescent="0.3">
      <c r="A180" s="202" t="s">
        <v>328</v>
      </c>
      <c r="B180" s="154">
        <f t="shared" si="18"/>
        <v>175</v>
      </c>
      <c r="C180" s="10">
        <v>6631</v>
      </c>
      <c r="D180" s="10">
        <v>1</v>
      </c>
      <c r="E180" s="10">
        <v>3</v>
      </c>
      <c r="F180" s="1223"/>
      <c r="G180" s="10"/>
      <c r="H180" s="13" t="s">
        <v>329</v>
      </c>
      <c r="I180" s="1212">
        <v>6500</v>
      </c>
      <c r="J180" s="1212">
        <v>1500</v>
      </c>
      <c r="K180" s="21">
        <f>VLOOKUP(Tabelle1[[#This Row],[Titel]],[2]Haushalt!$A:$S,19,FALSE)</f>
        <v>0</v>
      </c>
      <c r="L180" s="21">
        <f>Referatspläne!J4</f>
        <v>9025</v>
      </c>
      <c r="M180" s="944">
        <f>VLOOKUP(Tabelle1[[#This Row],[Titel]],[3]Haushalt!$A$8:$W$282,8,FALSE)</f>
        <v>0</v>
      </c>
      <c r="N180" s="21">
        <v>3150</v>
      </c>
      <c r="O180" s="21">
        <f>Referatspläne!J2</f>
        <v>0</v>
      </c>
      <c r="P180" s="750">
        <v>0</v>
      </c>
      <c r="Q180" s="21"/>
      <c r="R180" s="21"/>
      <c r="S180" s="21"/>
      <c r="T180" s="21"/>
      <c r="U180" s="21"/>
      <c r="V180" s="14"/>
      <c r="X180" s="6"/>
      <c r="Y180" s="6"/>
    </row>
    <row r="181" spans="1:25" outlineLevel="2" x14ac:dyDescent="0.3">
      <c r="A181" s="202" t="s">
        <v>330</v>
      </c>
      <c r="B181" s="154">
        <f t="shared" si="18"/>
        <v>176</v>
      </c>
      <c r="C181" s="10"/>
      <c r="D181" s="10">
        <v>1</v>
      </c>
      <c r="E181" s="10">
        <v>3</v>
      </c>
      <c r="F181" s="1223"/>
      <c r="G181" s="10" t="s">
        <v>331</v>
      </c>
      <c r="H181" s="13" t="s">
        <v>310</v>
      </c>
      <c r="I181" s="1212">
        <v>10000</v>
      </c>
      <c r="J181" s="1212">
        <v>2000</v>
      </c>
      <c r="K181" s="21">
        <f>VLOOKUP(Tabelle1[[#This Row],[Titel]],[2]Haushalt!$A:$S,19,FALSE)</f>
        <v>642.13</v>
      </c>
      <c r="L181" s="21">
        <f>Referatspläne!K4</f>
        <v>48390</v>
      </c>
      <c r="M181" s="944">
        <f>VLOOKUP(Tabelle1[[#This Row],[Titel]],[3]Haushalt!$A$8:$W$282,8,FALSE)</f>
        <v>166.48</v>
      </c>
      <c r="N181" s="21">
        <v>11700</v>
      </c>
      <c r="O181" s="21">
        <f>Referatspläne!K2</f>
        <v>2100</v>
      </c>
      <c r="P181" s="751">
        <v>187.73</v>
      </c>
      <c r="Q181" s="21"/>
      <c r="R181" s="21"/>
      <c r="S181" s="21">
        <f>HHJ_2022_2023!H135+HHJ_2022_2023!H175+HHJ_2022_2023!H167</f>
        <v>0</v>
      </c>
      <c r="T181" s="21">
        <f>HHJ_2022_2023!J135+HHJ_2022_2023!J175+HHJ_2022_2023!J167</f>
        <v>0</v>
      </c>
      <c r="U181" s="21">
        <f>HHJ_2022_2023!L135+HHJ_2022_2023!L175+HHJ_2022_2023!L167</f>
        <v>166.48</v>
      </c>
      <c r="V181" s="14"/>
      <c r="Y181" s="6"/>
    </row>
    <row r="182" spans="1:25" outlineLevel="1" x14ac:dyDescent="0.3">
      <c r="B182" s="151">
        <f t="shared" si="18"/>
        <v>177</v>
      </c>
      <c r="C182"/>
      <c r="D182"/>
      <c r="E182"/>
      <c r="M182" s="33"/>
      <c r="Q182" s="14"/>
      <c r="R182" s="14"/>
      <c r="S182" s="14"/>
      <c r="T182" s="14"/>
      <c r="U182" s="14"/>
      <c r="V182" s="14"/>
      <c r="X182" s="6"/>
      <c r="Y182" s="6"/>
    </row>
    <row r="183" spans="1:25" outlineLevel="1" x14ac:dyDescent="0.3">
      <c r="A183" s="201" t="s">
        <v>332</v>
      </c>
      <c r="B183" s="153">
        <f>ROW(B178)</f>
        <v>178</v>
      </c>
      <c r="C183" s="9"/>
      <c r="D183" s="9"/>
      <c r="E183" s="9"/>
      <c r="F183" s="1227"/>
      <c r="G183" s="9"/>
      <c r="H183" s="9" t="s">
        <v>333</v>
      </c>
      <c r="I183" s="20">
        <f>SUBTOTAL(9,I184:I225)</f>
        <v>120350</v>
      </c>
      <c r="J183" s="20">
        <f>SUBTOTAL(9,J184:J225)</f>
        <v>81700</v>
      </c>
      <c r="K183" s="20">
        <f>VLOOKUP(Tabelle1[[#This Row],[Titel]],[2]Haushalt!$A:$S,19,FALSE)</f>
        <v>43464.590000000004</v>
      </c>
      <c r="L183" s="20">
        <f>SUBTOTAL(9,L184:L225)</f>
        <v>137090</v>
      </c>
      <c r="M183" s="752">
        <f>VLOOKUP(Tabelle1[[#This Row],[Titel]],[3]Haushalt!$A$8:$W$282,8,FALSE)</f>
        <v>68750.69</v>
      </c>
      <c r="N183" s="20">
        <f>SUBTOTAL(9,N184:N225)</f>
        <v>162715</v>
      </c>
      <c r="O183" s="20">
        <f>SUBTOTAL(9,O184:O225)</f>
        <v>152900</v>
      </c>
      <c r="P183" s="20">
        <f>SUBTOTAL(9,P184:P225)</f>
        <v>118054.28000000001</v>
      </c>
      <c r="Q183" s="20"/>
      <c r="R183" s="20"/>
      <c r="S183" s="20">
        <f>SUBTOTAL(9,S184:S225)</f>
        <v>1765.5</v>
      </c>
      <c r="T183" s="20">
        <f>SUBTOTAL(9,T184:T225)</f>
        <v>5253.29</v>
      </c>
      <c r="U183" s="20">
        <f>SUBTOTAL(9,U184:U225)</f>
        <v>5289.3560000000007</v>
      </c>
      <c r="V183" s="14"/>
      <c r="Y183" s="6"/>
    </row>
    <row r="184" spans="1:25" outlineLevel="2" x14ac:dyDescent="0.3">
      <c r="A184" s="202" t="s">
        <v>334</v>
      </c>
      <c r="B184" s="156">
        <f>ROW(B179)</f>
        <v>179</v>
      </c>
      <c r="C184" s="1223"/>
      <c r="D184" s="1223"/>
      <c r="E184" s="1223"/>
      <c r="F184" s="1223"/>
      <c r="G184" s="10"/>
      <c r="H184" s="10" t="s">
        <v>315</v>
      </c>
      <c r="I184" s="749">
        <f>SUBTOTAL(9,I185:I189)</f>
        <v>90750</v>
      </c>
      <c r="J184" s="749">
        <f>SUBTOTAL(9,J185:J189)</f>
        <v>70000</v>
      </c>
      <c r="K184" s="749">
        <f>VLOOKUP(Tabelle1[[#This Row],[Titel]],[2]Haushalt!$A:$S,19,FALSE)</f>
        <v>27328</v>
      </c>
      <c r="L184" s="749">
        <f>SUBTOTAL(9,L185:L189)</f>
        <v>108510</v>
      </c>
      <c r="M184" s="943">
        <f>VLOOKUP(Tabelle1[[#This Row],[Titel]],[3]Haushalt!$A$8:$W$282,8,FALSE)</f>
        <v>44481.83</v>
      </c>
      <c r="N184" s="749">
        <f>SUBTOTAL(9,N185:N189)</f>
        <v>121565</v>
      </c>
      <c r="O184" s="749">
        <f>SUBTOTAL(9,O185:O189)</f>
        <v>96200</v>
      </c>
      <c r="P184" s="749">
        <f>SUBTOTAL(9,P185:P189)</f>
        <v>112777.58</v>
      </c>
      <c r="Q184" s="21"/>
      <c r="R184" s="21"/>
      <c r="S184" s="749">
        <f>SUBTOTAL(9,S185:S189)</f>
        <v>978.25</v>
      </c>
      <c r="T184" s="749">
        <f>SUBTOTAL(9,T185:T189)</f>
        <v>2852.0239999999999</v>
      </c>
      <c r="U184" s="749">
        <f>SUBTOTAL(9,U185:U189)</f>
        <v>2852.0239999999999</v>
      </c>
      <c r="V184" s="14"/>
      <c r="X184" s="6"/>
      <c r="Y184" s="6"/>
    </row>
    <row r="185" spans="1:25" outlineLevel="3" x14ac:dyDescent="0.3">
      <c r="A185" s="203" t="s">
        <v>335</v>
      </c>
      <c r="B185" s="155">
        <f>ROW(B180)</f>
        <v>180</v>
      </c>
      <c r="C185" s="10">
        <v>6307</v>
      </c>
      <c r="D185" s="10">
        <v>3</v>
      </c>
      <c r="E185" s="10">
        <v>5</v>
      </c>
      <c r="F185" s="1222"/>
      <c r="G185" s="10" t="s">
        <v>336</v>
      </c>
      <c r="H185" s="13" t="s">
        <v>268</v>
      </c>
      <c r="I185" s="1212">
        <v>43750</v>
      </c>
      <c r="J185" s="1212">
        <v>40000</v>
      </c>
      <c r="K185" s="21">
        <f>VLOOKUP(Tabelle1[[#This Row],[Titel]],[2]Haushalt!$A:$S,19,FALSE)</f>
        <v>12765.375</v>
      </c>
      <c r="L185" s="21">
        <f>WiWi!G15</f>
        <v>40000</v>
      </c>
      <c r="M185" s="944">
        <f>VLOOKUP(Tabelle1[[#This Row],[Titel]],[3]Haushalt!$A$8:$W$282,8,FALSE)</f>
        <v>22789.38</v>
      </c>
      <c r="N185" s="21">
        <v>45600</v>
      </c>
      <c r="O185" s="21">
        <f>WiWi!K15</f>
        <v>31499.999999999996</v>
      </c>
      <c r="P185" s="751">
        <f>WiWi!L15</f>
        <v>41821.25</v>
      </c>
      <c r="Q185" s="21"/>
      <c r="R185" s="21"/>
      <c r="S185" s="21">
        <f>HHJ_2022_2023!H201*0.7</f>
        <v>558.25</v>
      </c>
      <c r="T185" s="21">
        <f>HHJ_2022_2023!J201*0.7</f>
        <v>558.25</v>
      </c>
      <c r="U185" s="21">
        <f>HHJ_2022_2023!L201*0.7</f>
        <v>558.25</v>
      </c>
      <c r="V185" s="14"/>
      <c r="Y185" s="6"/>
    </row>
    <row r="186" spans="1:25" outlineLevel="3" x14ac:dyDescent="0.3">
      <c r="A186" s="203" t="s">
        <v>337</v>
      </c>
      <c r="B186" s="155">
        <f>ROW(B181)</f>
        <v>181</v>
      </c>
      <c r="C186" s="10">
        <v>6307</v>
      </c>
      <c r="D186" s="10">
        <v>3</v>
      </c>
      <c r="E186" s="10">
        <v>6</v>
      </c>
      <c r="F186" s="1222"/>
      <c r="G186" s="10" t="s">
        <v>338</v>
      </c>
      <c r="H186" s="13" t="s">
        <v>271</v>
      </c>
      <c r="I186" s="1212">
        <v>4000</v>
      </c>
      <c r="J186" s="1212">
        <v>3000</v>
      </c>
      <c r="K186" s="21">
        <f>VLOOKUP(Tabelle1[[#This Row],[Titel]],[2]Haushalt!$A:$S,19,FALSE)</f>
        <v>2310</v>
      </c>
      <c r="L186" s="21">
        <f>KSW!E15</f>
        <v>8510</v>
      </c>
      <c r="M186" s="944">
        <f>VLOOKUP(Tabelle1[[#This Row],[Titel]],[3]Haushalt!$A$8:$W$282,8,FALSE)</f>
        <v>2037</v>
      </c>
      <c r="N186" s="21">
        <v>8510</v>
      </c>
      <c r="O186" s="21">
        <f>KSW!I15</f>
        <v>2100</v>
      </c>
      <c r="P186" s="751">
        <f>KSW!J15</f>
        <v>4544.7</v>
      </c>
      <c r="Q186" s="21"/>
      <c r="R186" s="21"/>
      <c r="S186" s="21">
        <f>HHJ_2022_2023!H211*0.7</f>
        <v>420</v>
      </c>
      <c r="T186" s="21">
        <f>HHJ_2022_2023!J211*0.7</f>
        <v>420</v>
      </c>
      <c r="U186" s="21">
        <f>HHJ_2022_2023!L211*0.7</f>
        <v>420</v>
      </c>
      <c r="V186" s="14"/>
      <c r="X186" s="6"/>
      <c r="Y186" s="6"/>
    </row>
    <row r="187" spans="1:25" outlineLevel="3" x14ac:dyDescent="0.3">
      <c r="A187" s="203" t="s">
        <v>339</v>
      </c>
      <c r="B187" s="155">
        <f>ROW(B182)</f>
        <v>182</v>
      </c>
      <c r="C187" s="10">
        <v>6307</v>
      </c>
      <c r="D187" s="10">
        <v>3</v>
      </c>
      <c r="E187" s="10">
        <v>7</v>
      </c>
      <c r="F187" s="1222"/>
      <c r="G187" s="10" t="s">
        <v>340</v>
      </c>
      <c r="H187" s="13" t="s">
        <v>274</v>
      </c>
      <c r="I187" s="1212">
        <v>5000</v>
      </c>
      <c r="J187" s="1212">
        <v>0</v>
      </c>
      <c r="K187" s="21">
        <f>VLOOKUP(Tabelle1[[#This Row],[Titel]],[2]Haushalt!$A:$S,19,FALSE)</f>
        <v>0</v>
      </c>
      <c r="L187" s="21">
        <f>PSY!E15</f>
        <v>23000</v>
      </c>
      <c r="M187" s="944">
        <f>VLOOKUP(Tabelle1[[#This Row],[Titel]],[3]Haushalt!$A$8:$W$282,8,FALSE)</f>
        <v>73.5</v>
      </c>
      <c r="N187" s="21">
        <v>24540</v>
      </c>
      <c r="O187" s="21">
        <f>PSY!I15</f>
        <v>22000</v>
      </c>
      <c r="P187" s="751">
        <f>PSY!J15</f>
        <v>22905</v>
      </c>
      <c r="Q187" s="21"/>
      <c r="R187" s="21"/>
      <c r="S187" s="21">
        <f>HHJ_2022_2023!H221*0.7</f>
        <v>0</v>
      </c>
      <c r="T187" s="21">
        <f>HHJ_2022_2023!J221*0.7</f>
        <v>73.5</v>
      </c>
      <c r="U187" s="21">
        <f>HHJ_2022_2023!L221*0.7</f>
        <v>73.5</v>
      </c>
      <c r="V187" s="14"/>
      <c r="Y187" s="6"/>
    </row>
    <row r="188" spans="1:25" outlineLevel="3" x14ac:dyDescent="0.3">
      <c r="A188" s="203" t="s">
        <v>341</v>
      </c>
      <c r="B188" s="155">
        <f t="shared" ref="B188:B251" si="19">ROW(B183)</f>
        <v>183</v>
      </c>
      <c r="C188" s="10">
        <v>6307</v>
      </c>
      <c r="D188" s="10">
        <v>3</v>
      </c>
      <c r="E188" s="10">
        <v>8</v>
      </c>
      <c r="F188" s="1222"/>
      <c r="G188" s="10" t="s">
        <v>342</v>
      </c>
      <c r="H188" s="13" t="s">
        <v>277</v>
      </c>
      <c r="I188" s="1212">
        <v>25000</v>
      </c>
      <c r="J188" s="1212">
        <v>22000</v>
      </c>
      <c r="K188" s="21">
        <f>VLOOKUP(Tabelle1[[#This Row],[Titel]],[2]Haushalt!$A:$S,19,FALSE)</f>
        <v>7863.6249999999991</v>
      </c>
      <c r="L188" s="21">
        <f>ReWi!E15</f>
        <v>22000</v>
      </c>
      <c r="M188" s="944">
        <f>VLOOKUP(Tabelle1[[#This Row],[Titel]],[3]Haushalt!$A$8:$W$282,8,FALSE)</f>
        <v>14884.95</v>
      </c>
      <c r="N188" s="21">
        <v>25715</v>
      </c>
      <c r="O188" s="21">
        <f>ReWi!I15</f>
        <v>29399.999999999996</v>
      </c>
      <c r="P188" s="751">
        <f>ReWi!J15</f>
        <v>25892.880000000001</v>
      </c>
      <c r="Q188" s="21"/>
      <c r="R188" s="21"/>
      <c r="S188" s="21">
        <f>HHJ_2022_2023!H231*0.7</f>
        <v>0</v>
      </c>
      <c r="T188" s="21">
        <f>HHJ_2022_2023!J231*0.7</f>
        <v>1184.2739999999999</v>
      </c>
      <c r="U188" s="21">
        <f>HHJ_2022_2023!L231*0.7</f>
        <v>1184.2739999999999</v>
      </c>
      <c r="V188" s="14"/>
      <c r="X188" s="6"/>
      <c r="Y188" s="6"/>
    </row>
    <row r="189" spans="1:25" outlineLevel="3" x14ac:dyDescent="0.3">
      <c r="A189" s="203" t="s">
        <v>343</v>
      </c>
      <c r="B189" s="155">
        <f t="shared" si="19"/>
        <v>184</v>
      </c>
      <c r="C189" s="10">
        <v>6307</v>
      </c>
      <c r="D189" s="10">
        <v>3</v>
      </c>
      <c r="E189" s="10">
        <v>9</v>
      </c>
      <c r="F189" s="1222"/>
      <c r="G189" s="10" t="s">
        <v>344</v>
      </c>
      <c r="H189" s="13" t="s">
        <v>280</v>
      </c>
      <c r="I189" s="1212">
        <v>13000</v>
      </c>
      <c r="J189" s="1212">
        <v>5000</v>
      </c>
      <c r="K189" s="21">
        <f>VLOOKUP(Tabelle1[[#This Row],[Titel]],[2]Haushalt!$A:$S,19,FALSE)</f>
        <v>4389</v>
      </c>
      <c r="L189" s="21">
        <f>M_I!G15</f>
        <v>15000</v>
      </c>
      <c r="M189" s="944">
        <f>VLOOKUP(Tabelle1[[#This Row],[Titel]],[3]Haushalt!$A$8:$W$282,8,FALSE)</f>
        <v>4697</v>
      </c>
      <c r="N189" s="21">
        <v>17200</v>
      </c>
      <c r="O189" s="21">
        <f>M_I!K15</f>
        <v>11200</v>
      </c>
      <c r="P189" s="751">
        <f>M_I!L15</f>
        <v>17613.75</v>
      </c>
      <c r="Q189" s="21"/>
      <c r="R189" s="21"/>
      <c r="S189" s="21">
        <f>HHJ_2022_2023!H241*0.7</f>
        <v>0</v>
      </c>
      <c r="T189" s="21">
        <f>HHJ_2022_2023!J241*0.7</f>
        <v>616</v>
      </c>
      <c r="U189" s="21">
        <f>HHJ_2022_2023!L241*0.7</f>
        <v>616</v>
      </c>
      <c r="V189" s="14"/>
      <c r="Y189" s="6"/>
    </row>
    <row r="190" spans="1:25" outlineLevel="2" x14ac:dyDescent="0.3">
      <c r="A190" s="202" t="s">
        <v>345</v>
      </c>
      <c r="B190" s="156">
        <f t="shared" si="19"/>
        <v>185</v>
      </c>
      <c r="C190" s="10"/>
      <c r="D190" s="10"/>
      <c r="E190" s="10"/>
      <c r="F190" s="1223"/>
      <c r="G190" s="10"/>
      <c r="H190" s="10" t="s">
        <v>318</v>
      </c>
      <c r="I190" s="749">
        <f>SUBTOTAL(9,I191:I195)</f>
        <v>8000</v>
      </c>
      <c r="J190" s="749">
        <f>SUBTOTAL(9,J191:J195)</f>
        <v>1500</v>
      </c>
      <c r="K190" s="749">
        <f>VLOOKUP(Tabelle1[[#This Row],[Titel]],[2]Haushalt!$A:$S,19,FALSE)</f>
        <v>5856</v>
      </c>
      <c r="L190" s="749">
        <f>SUBTOTAL(9,L191:L195)</f>
        <v>5640</v>
      </c>
      <c r="M190" s="943">
        <f>VLOOKUP(Tabelle1[[#This Row],[Titel]],[3]Haushalt!$A$8:$W$282,8,FALSE)</f>
        <v>9531.82</v>
      </c>
      <c r="N190" s="749">
        <f>SUBTOTAL(9,N191:N195)</f>
        <v>10140</v>
      </c>
      <c r="O190" s="749">
        <f>SUBTOTAL(9,O191:O195)</f>
        <v>15450</v>
      </c>
      <c r="P190" s="749">
        <f>SUBTOTAL(9,P191:P195)</f>
        <v>0</v>
      </c>
      <c r="Q190" s="21"/>
      <c r="R190" s="21"/>
      <c r="S190" s="749">
        <f>SUBTOTAL(9,S191:S195)</f>
        <v>209.625</v>
      </c>
      <c r="T190" s="749">
        <f>SUBTOTAL(9,T191:T195)</f>
        <v>611.14799999999991</v>
      </c>
      <c r="U190" s="749">
        <f>SUBTOTAL(9,U191:U195)</f>
        <v>611.14799999999991</v>
      </c>
      <c r="V190" s="14"/>
      <c r="X190" s="6"/>
      <c r="Y190" s="6"/>
    </row>
    <row r="191" spans="1:25" outlineLevel="3" x14ac:dyDescent="0.3">
      <c r="A191" s="203" t="s">
        <v>346</v>
      </c>
      <c r="B191" s="155">
        <f t="shared" si="19"/>
        <v>186</v>
      </c>
      <c r="C191" s="10">
        <v>6307</v>
      </c>
      <c r="D191" s="10">
        <v>1</v>
      </c>
      <c r="E191" s="10">
        <v>5</v>
      </c>
      <c r="F191" s="1222"/>
      <c r="G191" s="10" t="s">
        <v>347</v>
      </c>
      <c r="H191" s="13" t="s">
        <v>268</v>
      </c>
      <c r="I191" s="1212">
        <v>1000</v>
      </c>
      <c r="J191" s="1212">
        <v>1000</v>
      </c>
      <c r="K191" s="21">
        <f>VLOOKUP(Tabelle1[[#This Row],[Titel]],[2]Haushalt!$A:$S,19,FALSE)</f>
        <v>2735.4375</v>
      </c>
      <c r="L191" s="21">
        <f>WiWi!G16</f>
        <v>1000</v>
      </c>
      <c r="M191" s="944">
        <f>VLOOKUP(Tabelle1[[#This Row],[Titel]],[3]Haushalt!$A$8:$W$282,8,FALSE)</f>
        <v>4883.4399999999996</v>
      </c>
      <c r="N191" s="21">
        <v>2000</v>
      </c>
      <c r="O191" s="21">
        <f>WiWi!K16</f>
        <v>6750</v>
      </c>
      <c r="P191" s="751">
        <v>0</v>
      </c>
      <c r="Q191" s="21"/>
      <c r="R191" s="21"/>
      <c r="S191" s="21">
        <f>HHJ_2022_2023!H201*0.15</f>
        <v>119.625</v>
      </c>
      <c r="T191" s="21">
        <f>HHJ_2022_2023!J201*0.15</f>
        <v>119.625</v>
      </c>
      <c r="U191" s="21">
        <f>HHJ_2022_2023!L201*0.15</f>
        <v>119.625</v>
      </c>
      <c r="V191" s="14"/>
      <c r="Y191" s="6"/>
    </row>
    <row r="192" spans="1:25" outlineLevel="3" x14ac:dyDescent="0.3">
      <c r="A192" s="203" t="s">
        <v>348</v>
      </c>
      <c r="B192" s="155">
        <f t="shared" si="19"/>
        <v>187</v>
      </c>
      <c r="C192" s="10">
        <v>6307</v>
      </c>
      <c r="D192" s="10">
        <v>1</v>
      </c>
      <c r="E192" s="10">
        <v>6</v>
      </c>
      <c r="F192" s="1222"/>
      <c r="G192" s="10" t="s">
        <v>349</v>
      </c>
      <c r="H192" s="13" t="s">
        <v>271</v>
      </c>
      <c r="I192" s="1212">
        <v>2000</v>
      </c>
      <c r="J192" s="1212">
        <v>500</v>
      </c>
      <c r="K192" s="21">
        <f>VLOOKUP(Tabelle1[[#This Row],[Titel]],[2]Haushalt!$A:$S,19,FALSE)</f>
        <v>495</v>
      </c>
      <c r="L192" s="21">
        <f>KSW!E16</f>
        <v>2640</v>
      </c>
      <c r="M192" s="944">
        <f>VLOOKUP(Tabelle1[[#This Row],[Titel]],[3]Haushalt!$A$8:$W$282,8,FALSE)</f>
        <v>436.5</v>
      </c>
      <c r="N192" s="21">
        <v>2640</v>
      </c>
      <c r="O192" s="21">
        <f>KSW!I16</f>
        <v>600</v>
      </c>
      <c r="P192" s="751">
        <v>0</v>
      </c>
      <c r="Q192" s="21"/>
      <c r="R192" s="21"/>
      <c r="S192" s="21">
        <f>HHJ_2022_2023!H211*0.15</f>
        <v>90</v>
      </c>
      <c r="T192" s="21">
        <f>HHJ_2022_2023!J211*0.15</f>
        <v>90</v>
      </c>
      <c r="U192" s="21">
        <f>HHJ_2022_2023!L211*0.15</f>
        <v>90</v>
      </c>
      <c r="V192" s="14"/>
      <c r="X192" s="6"/>
      <c r="Y192" s="6"/>
    </row>
    <row r="193" spans="1:25" outlineLevel="3" x14ac:dyDescent="0.3">
      <c r="A193" s="203" t="s">
        <v>350</v>
      </c>
      <c r="B193" s="155">
        <f t="shared" si="19"/>
        <v>188</v>
      </c>
      <c r="C193" s="10">
        <v>6307</v>
      </c>
      <c r="D193" s="10">
        <v>1</v>
      </c>
      <c r="E193" s="10">
        <v>7</v>
      </c>
      <c r="F193" s="1222"/>
      <c r="G193" s="10" t="s">
        <v>351</v>
      </c>
      <c r="H193" s="13" t="s">
        <v>274</v>
      </c>
      <c r="I193" s="1212">
        <v>1000</v>
      </c>
      <c r="J193" s="1212">
        <v>0</v>
      </c>
      <c r="K193" s="21">
        <f>VLOOKUP(Tabelle1[[#This Row],[Titel]],[2]Haushalt!$A:$S,19,FALSE)</f>
        <v>0</v>
      </c>
      <c r="L193" s="21">
        <f>PSY!E16</f>
        <v>2000</v>
      </c>
      <c r="M193" s="944">
        <f>VLOOKUP(Tabelle1[[#This Row],[Titel]],[3]Haushalt!$A$8:$W$282,8,FALSE)</f>
        <v>15.75</v>
      </c>
      <c r="N193" s="21">
        <v>2000</v>
      </c>
      <c r="O193" s="21">
        <f>PSY!I16</f>
        <v>0</v>
      </c>
      <c r="P193" s="751">
        <v>0</v>
      </c>
      <c r="Q193" s="21"/>
      <c r="R193" s="21"/>
      <c r="S193" s="21">
        <f>HHJ_2022_2023!H221*0.15</f>
        <v>0</v>
      </c>
      <c r="T193" s="21">
        <f>HHJ_2022_2023!J221*0.15</f>
        <v>15.75</v>
      </c>
      <c r="U193" s="21">
        <f>HHJ_2022_2023!L221*0.15</f>
        <v>15.75</v>
      </c>
      <c r="V193" s="14"/>
      <c r="Y193" s="6"/>
    </row>
    <row r="194" spans="1:25" outlineLevel="3" x14ac:dyDescent="0.3">
      <c r="A194" s="203" t="s">
        <v>352</v>
      </c>
      <c r="B194" s="155">
        <f t="shared" si="19"/>
        <v>189</v>
      </c>
      <c r="C194" s="10">
        <v>6307</v>
      </c>
      <c r="D194" s="10">
        <v>1</v>
      </c>
      <c r="E194" s="10">
        <v>8</v>
      </c>
      <c r="F194" s="1222"/>
      <c r="G194" s="10" t="s">
        <v>353</v>
      </c>
      <c r="H194" s="13" t="s">
        <v>277</v>
      </c>
      <c r="I194" s="1212">
        <v>3000</v>
      </c>
      <c r="J194" s="1212">
        <v>0</v>
      </c>
      <c r="K194" s="21">
        <f>VLOOKUP(Tabelle1[[#This Row],[Titel]],[2]Haushalt!$A:$S,19,FALSE)</f>
        <v>1685.0625</v>
      </c>
      <c r="L194" s="21">
        <f>ReWi!E16</f>
        <v>0</v>
      </c>
      <c r="M194" s="944">
        <f>VLOOKUP(Tabelle1[[#This Row],[Titel]],[3]Haushalt!$A$8:$W$282,8,FALSE)</f>
        <v>3189.63</v>
      </c>
      <c r="N194" s="21">
        <v>2500</v>
      </c>
      <c r="O194" s="21">
        <f>ReWi!I16</f>
        <v>6300</v>
      </c>
      <c r="P194" s="751">
        <v>0</v>
      </c>
      <c r="Q194" s="21"/>
      <c r="R194" s="21"/>
      <c r="S194" s="21">
        <f>HHJ_2022_2023!H231*0.15</f>
        <v>0</v>
      </c>
      <c r="T194" s="21">
        <f>HHJ_2022_2023!J231*0.15</f>
        <v>253.77299999999997</v>
      </c>
      <c r="U194" s="21">
        <f>HHJ_2022_2023!L231*0.15</f>
        <v>253.77299999999997</v>
      </c>
      <c r="V194" s="14"/>
      <c r="X194" s="6"/>
      <c r="Y194" s="6"/>
    </row>
    <row r="195" spans="1:25" outlineLevel="3" x14ac:dyDescent="0.3">
      <c r="A195" s="203" t="s">
        <v>354</v>
      </c>
      <c r="B195" s="155">
        <f t="shared" si="19"/>
        <v>190</v>
      </c>
      <c r="C195" s="10">
        <v>6307</v>
      </c>
      <c r="D195" s="10">
        <v>1</v>
      </c>
      <c r="E195" s="10">
        <v>9</v>
      </c>
      <c r="F195" s="1222"/>
      <c r="G195" s="10" t="s">
        <v>355</v>
      </c>
      <c r="H195" s="13" t="s">
        <v>280</v>
      </c>
      <c r="I195" s="1212">
        <v>1000</v>
      </c>
      <c r="J195" s="1212">
        <v>0</v>
      </c>
      <c r="K195" s="21">
        <f>VLOOKUP(Tabelle1[[#This Row],[Titel]],[2]Haushalt!$A:$S,19,FALSE)</f>
        <v>940.5</v>
      </c>
      <c r="L195" s="21">
        <f>M_I!G16</f>
        <v>0</v>
      </c>
      <c r="M195" s="944">
        <f>VLOOKUP(Tabelle1[[#This Row],[Titel]],[3]Haushalt!$A$8:$W$282,8,FALSE)</f>
        <v>1006.5</v>
      </c>
      <c r="N195" s="21">
        <v>1000</v>
      </c>
      <c r="O195" s="21">
        <f>M_I!K16</f>
        <v>1800</v>
      </c>
      <c r="P195" s="751">
        <v>0</v>
      </c>
      <c r="Q195" s="21"/>
      <c r="R195" s="21"/>
      <c r="S195" s="21">
        <f>HHJ_2022_2023!H241*0.15</f>
        <v>0</v>
      </c>
      <c r="T195" s="21">
        <f>HHJ_2022_2023!J241*0.15</f>
        <v>132</v>
      </c>
      <c r="U195" s="21">
        <f>HHJ_2022_2023!L241*0.15</f>
        <v>132</v>
      </c>
      <c r="V195" s="14"/>
      <c r="Y195" s="6"/>
    </row>
    <row r="196" spans="1:25" outlineLevel="2" x14ac:dyDescent="0.3">
      <c r="A196" s="202" t="s">
        <v>356</v>
      </c>
      <c r="B196" s="156">
        <f t="shared" si="19"/>
        <v>191</v>
      </c>
      <c r="C196" s="1223"/>
      <c r="D196" s="1223"/>
      <c r="E196" s="1223"/>
      <c r="F196" s="1223"/>
      <c r="G196" s="10"/>
      <c r="H196" s="10" t="s">
        <v>321</v>
      </c>
      <c r="I196" s="749">
        <f>SUBTOTAL(9,I197:I201)</f>
        <v>2800</v>
      </c>
      <c r="J196" s="749">
        <f>SUBTOTAL(9,J197:J201)</f>
        <v>1100</v>
      </c>
      <c r="K196" s="749">
        <f>VLOOKUP(Tabelle1[[#This Row],[Titel]],[2]Haushalt!$A:$S,19,FALSE)</f>
        <v>5856</v>
      </c>
      <c r="L196" s="749">
        <f>SUBTOTAL(9,L197:L201)</f>
        <v>1100</v>
      </c>
      <c r="M196" s="943">
        <f>VLOOKUP(Tabelle1[[#This Row],[Titel]],[3]Haushalt!$A$8:$W$282,8,FALSE)</f>
        <v>9531.82</v>
      </c>
      <c r="N196" s="749">
        <f>SUBTOTAL(9,N197:N201)</f>
        <v>2000</v>
      </c>
      <c r="O196" s="749">
        <f>SUBTOTAL(9,O197:O201)</f>
        <v>16350</v>
      </c>
      <c r="P196" s="749">
        <f>SUBTOTAL(9,P197:P201)</f>
        <v>0</v>
      </c>
      <c r="Q196" s="21"/>
      <c r="R196" s="21"/>
      <c r="S196" s="749">
        <f>SUBTOTAL(9,S197:S201)</f>
        <v>209.625</v>
      </c>
      <c r="T196" s="749">
        <f>SUBTOTAL(9,T197:T201)</f>
        <v>611.14799999999991</v>
      </c>
      <c r="U196" s="749">
        <f>SUBTOTAL(9,U197:U201)</f>
        <v>611.14799999999991</v>
      </c>
      <c r="V196" s="14"/>
      <c r="X196" s="6"/>
      <c r="Y196" s="6"/>
    </row>
    <row r="197" spans="1:25" outlineLevel="3" x14ac:dyDescent="0.3">
      <c r="A197" s="203" t="s">
        <v>357</v>
      </c>
      <c r="B197" s="155">
        <f t="shared" si="19"/>
        <v>192</v>
      </c>
      <c r="C197" s="10" t="s">
        <v>1475</v>
      </c>
      <c r="D197" s="10">
        <v>3</v>
      </c>
      <c r="E197" s="10">
        <v>5</v>
      </c>
      <c r="F197" s="1222"/>
      <c r="G197" s="10" t="s">
        <v>347</v>
      </c>
      <c r="H197" s="13" t="s">
        <v>268</v>
      </c>
      <c r="I197" s="1212">
        <v>500</v>
      </c>
      <c r="J197" s="1212">
        <v>500</v>
      </c>
      <c r="K197" s="21">
        <f>VLOOKUP(Tabelle1[[#This Row],[Titel]],[2]Haushalt!$A:$S,19,FALSE)</f>
        <v>2735.4375</v>
      </c>
      <c r="L197" s="21">
        <f>WiWi!G17</f>
        <v>500</v>
      </c>
      <c r="M197" s="944">
        <f>VLOOKUP(Tabelle1[[#This Row],[Titel]],[3]Haushalt!$A$8:$W$282,8,FALSE)</f>
        <v>4883.4399999999996</v>
      </c>
      <c r="N197" s="21">
        <v>1100</v>
      </c>
      <c r="O197" s="21">
        <f>WiWi!K17</f>
        <v>6750</v>
      </c>
      <c r="P197" s="751">
        <v>0</v>
      </c>
      <c r="Q197" s="21"/>
      <c r="R197" s="21"/>
      <c r="S197" s="21">
        <f>HHJ_2022_2023!H201*0.15</f>
        <v>119.625</v>
      </c>
      <c r="T197" s="21">
        <f>HHJ_2022_2023!J201*0.15</f>
        <v>119.625</v>
      </c>
      <c r="U197" s="21">
        <f>HHJ_2022_2023!L201*0.15</f>
        <v>119.625</v>
      </c>
      <c r="V197" s="14"/>
      <c r="Y197" s="6"/>
    </row>
    <row r="198" spans="1:25" outlineLevel="3" x14ac:dyDescent="0.3">
      <c r="A198" s="203" t="s">
        <v>358</v>
      </c>
      <c r="B198" s="155">
        <f t="shared" si="19"/>
        <v>193</v>
      </c>
      <c r="C198" s="10" t="s">
        <v>1475</v>
      </c>
      <c r="D198" s="10">
        <v>3</v>
      </c>
      <c r="E198" s="10">
        <v>6</v>
      </c>
      <c r="F198" s="1222"/>
      <c r="G198" s="10" t="s">
        <v>349</v>
      </c>
      <c r="H198" s="13" t="s">
        <v>271</v>
      </c>
      <c r="I198" s="1212">
        <v>500</v>
      </c>
      <c r="J198" s="1212">
        <v>100</v>
      </c>
      <c r="K198" s="21">
        <f>VLOOKUP(Tabelle1[[#This Row],[Titel]],[2]Haushalt!$A:$S,19,FALSE)</f>
        <v>495</v>
      </c>
      <c r="L198" s="21">
        <f>KSW!E17</f>
        <v>100</v>
      </c>
      <c r="M198" s="944">
        <f>VLOOKUP(Tabelle1[[#This Row],[Titel]],[3]Haushalt!$A$8:$W$282,8,FALSE)</f>
        <v>436.5</v>
      </c>
      <c r="N198" s="21">
        <v>100</v>
      </c>
      <c r="O198" s="21">
        <f>KSW!I17</f>
        <v>300</v>
      </c>
      <c r="P198" s="751">
        <v>0</v>
      </c>
      <c r="Q198" s="21"/>
      <c r="R198" s="21"/>
      <c r="S198" s="21">
        <f>HHJ_2022_2023!H211*0.15</f>
        <v>90</v>
      </c>
      <c r="T198" s="21">
        <f>HHJ_2022_2023!J211*0.15</f>
        <v>90</v>
      </c>
      <c r="U198" s="21">
        <f>HHJ_2022_2023!L211*0.15</f>
        <v>90</v>
      </c>
      <c r="V198" s="14"/>
      <c r="X198" s="6"/>
      <c r="Y198" s="6"/>
    </row>
    <row r="199" spans="1:25" outlineLevel="3" x14ac:dyDescent="0.3">
      <c r="A199" s="203" t="s">
        <v>359</v>
      </c>
      <c r="B199" s="155">
        <f t="shared" si="19"/>
        <v>194</v>
      </c>
      <c r="C199" s="10" t="s">
        <v>1475</v>
      </c>
      <c r="D199" s="10">
        <v>3</v>
      </c>
      <c r="E199" s="10">
        <v>7</v>
      </c>
      <c r="F199" s="1222"/>
      <c r="G199" s="10" t="s">
        <v>351</v>
      </c>
      <c r="H199" s="13" t="s">
        <v>274</v>
      </c>
      <c r="I199" s="1212">
        <v>500</v>
      </c>
      <c r="J199" s="1212">
        <v>500</v>
      </c>
      <c r="K199" s="21">
        <f>VLOOKUP(Tabelle1[[#This Row],[Titel]],[2]Haushalt!$A:$S,19,FALSE)</f>
        <v>0</v>
      </c>
      <c r="L199" s="21">
        <f>PSY!E17</f>
        <v>500</v>
      </c>
      <c r="M199" s="944">
        <f>VLOOKUP(Tabelle1[[#This Row],[Titel]],[3]Haushalt!$A$8:$W$282,8,FALSE)</f>
        <v>15.75</v>
      </c>
      <c r="N199" s="21">
        <v>100</v>
      </c>
      <c r="O199" s="21">
        <f>PSY!I17</f>
        <v>1000</v>
      </c>
      <c r="P199" s="751">
        <v>0</v>
      </c>
      <c r="Q199" s="21"/>
      <c r="R199" s="21"/>
      <c r="S199" s="21">
        <f>HHJ_2022_2023!H221*0.15</f>
        <v>0</v>
      </c>
      <c r="T199" s="21">
        <f>HHJ_2022_2023!J221*0.15</f>
        <v>15.75</v>
      </c>
      <c r="U199" s="21">
        <f>HHJ_2022_2023!L221*0.15</f>
        <v>15.75</v>
      </c>
      <c r="V199" s="14"/>
      <c r="Y199" s="6"/>
    </row>
    <row r="200" spans="1:25" outlineLevel="3" x14ac:dyDescent="0.3">
      <c r="A200" s="203" t="s">
        <v>360</v>
      </c>
      <c r="B200" s="155">
        <f t="shared" si="19"/>
        <v>195</v>
      </c>
      <c r="C200" s="10" t="s">
        <v>1475</v>
      </c>
      <c r="D200" s="10">
        <v>3</v>
      </c>
      <c r="E200" s="10">
        <v>8</v>
      </c>
      <c r="F200" s="1222"/>
      <c r="G200" s="10" t="s">
        <v>353</v>
      </c>
      <c r="H200" s="13" t="s">
        <v>277</v>
      </c>
      <c r="I200" s="1212">
        <v>1000</v>
      </c>
      <c r="J200" s="1212">
        <v>0</v>
      </c>
      <c r="K200" s="21">
        <f>VLOOKUP(Tabelle1[[#This Row],[Titel]],[2]Haushalt!$A:$S,19,FALSE)</f>
        <v>1685.0625</v>
      </c>
      <c r="L200" s="21">
        <f>ReWi!E17</f>
        <v>0</v>
      </c>
      <c r="M200" s="944">
        <f>VLOOKUP(Tabelle1[[#This Row],[Titel]],[3]Haushalt!$A$8:$W$282,8,FALSE)</f>
        <v>3189.63</v>
      </c>
      <c r="N200" s="21">
        <v>500</v>
      </c>
      <c r="O200" s="21">
        <f>ReWi!I17</f>
        <v>6300</v>
      </c>
      <c r="P200" s="751">
        <v>0</v>
      </c>
      <c r="Q200" s="21"/>
      <c r="R200" s="21"/>
      <c r="S200" s="21">
        <f>HHJ_2022_2023!H231*0.15</f>
        <v>0</v>
      </c>
      <c r="T200" s="21">
        <f>HHJ_2022_2023!J231*0.15</f>
        <v>253.77299999999997</v>
      </c>
      <c r="U200" s="21">
        <f>HHJ_2022_2023!L231*0.15</f>
        <v>253.77299999999997</v>
      </c>
      <c r="V200" s="14"/>
      <c r="X200" s="6"/>
      <c r="Y200" s="6"/>
    </row>
    <row r="201" spans="1:25" outlineLevel="3" x14ac:dyDescent="0.3">
      <c r="A201" s="203" t="s">
        <v>361</v>
      </c>
      <c r="B201" s="155">
        <f t="shared" si="19"/>
        <v>196</v>
      </c>
      <c r="C201" s="10" t="s">
        <v>1475</v>
      </c>
      <c r="D201" s="10">
        <v>3</v>
      </c>
      <c r="E201" s="10">
        <v>9</v>
      </c>
      <c r="F201" s="1222"/>
      <c r="G201" s="10" t="s">
        <v>355</v>
      </c>
      <c r="H201" s="13" t="s">
        <v>280</v>
      </c>
      <c r="I201" s="1212">
        <v>300</v>
      </c>
      <c r="J201" s="1212">
        <v>0</v>
      </c>
      <c r="K201" s="21">
        <f>VLOOKUP(Tabelle1[[#This Row],[Titel]],[2]Haushalt!$A:$S,19,FALSE)</f>
        <v>940.5</v>
      </c>
      <c r="L201" s="21">
        <f>M_I!G17</f>
        <v>0</v>
      </c>
      <c r="M201" s="944">
        <f>VLOOKUP(Tabelle1[[#This Row],[Titel]],[3]Haushalt!$A$8:$W$282,8,FALSE)</f>
        <v>1006.5</v>
      </c>
      <c r="N201" s="21">
        <v>200</v>
      </c>
      <c r="O201" s="21">
        <f>M_I!K17</f>
        <v>2000</v>
      </c>
      <c r="P201" s="751">
        <v>0</v>
      </c>
      <c r="Q201" s="21"/>
      <c r="R201" s="21"/>
      <c r="S201" s="21">
        <f>HHJ_2022_2023!H241*0.15</f>
        <v>0</v>
      </c>
      <c r="T201" s="21">
        <f>HHJ_2022_2023!J241*0.15</f>
        <v>132</v>
      </c>
      <c r="U201" s="21">
        <f>HHJ_2022_2023!L241*0.15</f>
        <v>132</v>
      </c>
      <c r="V201" s="14"/>
      <c r="Y201" s="6"/>
    </row>
    <row r="202" spans="1:25" outlineLevel="2" x14ac:dyDescent="0.3">
      <c r="A202" s="202" t="s">
        <v>362</v>
      </c>
      <c r="B202" s="156">
        <f t="shared" si="19"/>
        <v>197</v>
      </c>
      <c r="C202" s="1223"/>
      <c r="D202" s="1223"/>
      <c r="E202" s="1223"/>
      <c r="F202" s="1223"/>
      <c r="G202" s="10"/>
      <c r="H202" s="10" t="s">
        <v>363</v>
      </c>
      <c r="I202" s="749">
        <f>SUBTOTAL(9,I203:I207)</f>
        <v>2700</v>
      </c>
      <c r="J202" s="749">
        <f>SUBTOTAL(9,J203:J207)</f>
        <v>600</v>
      </c>
      <c r="K202" s="749">
        <f>VLOOKUP(Tabelle1[[#This Row],[Titel]],[2]Haushalt!$A:$S,19,FALSE)</f>
        <v>41.31</v>
      </c>
      <c r="L202" s="749">
        <f>SUBTOTAL(9,L203:L207)</f>
        <v>1290</v>
      </c>
      <c r="M202" s="943">
        <f>VLOOKUP(Tabelle1[[#This Row],[Titel]],[3]Haushalt!$A$8:$W$282,8,FALSE)</f>
        <v>134.06</v>
      </c>
      <c r="N202" s="749">
        <f>SUBTOTAL(9,N203:N207)</f>
        <v>3040</v>
      </c>
      <c r="O202" s="749">
        <f>SUBTOTAL(9,O203:O207)</f>
        <v>2900</v>
      </c>
      <c r="P202" s="749">
        <f>SUBTOTAL(9,P203:P207)</f>
        <v>0</v>
      </c>
      <c r="Q202" s="21"/>
      <c r="R202" s="21"/>
      <c r="S202" s="749">
        <f>SUBTOTAL(9,S203:S207)</f>
        <v>0</v>
      </c>
      <c r="T202" s="749">
        <f>SUBTOTAL(9,T203:T207)</f>
        <v>0</v>
      </c>
      <c r="U202" s="749">
        <f>SUBTOTAL(9,U203:U207)</f>
        <v>6.0660000000000007</v>
      </c>
      <c r="V202" s="14"/>
      <c r="X202" s="6"/>
      <c r="Y202" s="6"/>
    </row>
    <row r="203" spans="1:25" outlineLevel="3" x14ac:dyDescent="0.3">
      <c r="A203" s="203" t="s">
        <v>364</v>
      </c>
      <c r="B203" s="155">
        <f t="shared" si="19"/>
        <v>198</v>
      </c>
      <c r="C203" s="10" t="s">
        <v>1477</v>
      </c>
      <c r="D203" s="10">
        <v>3</v>
      </c>
      <c r="E203" s="10">
        <v>5</v>
      </c>
      <c r="F203" s="1222"/>
      <c r="G203" s="10" t="s">
        <v>1199</v>
      </c>
      <c r="H203" s="13" t="s">
        <v>268</v>
      </c>
      <c r="I203" s="1214">
        <v>1500</v>
      </c>
      <c r="J203" s="1214">
        <v>500</v>
      </c>
      <c r="K203" s="21">
        <f>VLOOKUP(Tabelle1[[#This Row],[Titel]],[2]Haushalt!$A:$S,19,FALSE)</f>
        <v>41.31</v>
      </c>
      <c r="L203" s="21">
        <f>WiWi!G18</f>
        <v>500</v>
      </c>
      <c r="M203" s="944">
        <f>VLOOKUP(Tabelle1[[#This Row],[Titel]],[3]Haushalt!$A$8:$W$282,8,FALSE)</f>
        <v>134.06</v>
      </c>
      <c r="N203" s="21">
        <v>1500</v>
      </c>
      <c r="O203" s="21">
        <f>WiWi!K18</f>
        <v>2100</v>
      </c>
      <c r="P203" s="751">
        <f>WiWi!L18</f>
        <v>0</v>
      </c>
      <c r="Q203" s="21"/>
      <c r="R203" s="21"/>
      <c r="S203" s="21">
        <f>(HHJ_2022_2023!H203*0.9)+HHJ_2022_2023!H205</f>
        <v>0</v>
      </c>
      <c r="T203" s="21">
        <f>(HHJ_2022_2023!J203*0.9)+HHJ_2022_2023!J205</f>
        <v>0</v>
      </c>
      <c r="U203" s="21">
        <f>(HHJ_2022_2023!L203*0.9)+HHJ_2022_2023!L205</f>
        <v>6.0660000000000007</v>
      </c>
      <c r="V203" s="14"/>
      <c r="Y203" s="6"/>
    </row>
    <row r="204" spans="1:25" outlineLevel="3" x14ac:dyDescent="0.3">
      <c r="A204" s="203" t="s">
        <v>366</v>
      </c>
      <c r="B204" s="155">
        <f t="shared" si="19"/>
        <v>199</v>
      </c>
      <c r="C204" s="10" t="s">
        <v>1477</v>
      </c>
      <c r="D204" s="10">
        <v>3</v>
      </c>
      <c r="E204" s="10">
        <v>6</v>
      </c>
      <c r="F204" s="1222"/>
      <c r="G204" s="10" t="s">
        <v>367</v>
      </c>
      <c r="H204" s="13" t="s">
        <v>271</v>
      </c>
      <c r="I204" s="1214">
        <v>300</v>
      </c>
      <c r="J204" s="1214">
        <v>100</v>
      </c>
      <c r="K204" s="21">
        <f>VLOOKUP(Tabelle1[[#This Row],[Titel]],[2]Haushalt!$A:$S,19,FALSE)</f>
        <v>0</v>
      </c>
      <c r="L204" s="21">
        <f>KSW!E18</f>
        <v>340</v>
      </c>
      <c r="M204" s="944">
        <f>VLOOKUP(Tabelle1[[#This Row],[Titel]],[3]Haushalt!$A$8:$W$282,8,FALSE)</f>
        <v>0</v>
      </c>
      <c r="N204" s="21">
        <v>340</v>
      </c>
      <c r="O204" s="21">
        <f>KSW!I18</f>
        <v>100</v>
      </c>
      <c r="P204" s="751">
        <f>KSW!J18</f>
        <v>0</v>
      </c>
      <c r="Q204" s="21"/>
      <c r="R204" s="21"/>
      <c r="S204" s="21">
        <f>HHJ_2022_2023!H215</f>
        <v>0</v>
      </c>
      <c r="T204" s="21">
        <f>HHJ_2022_2023!J215</f>
        <v>0</v>
      </c>
      <c r="U204" s="21">
        <f>HHJ_2022_2023!L215</f>
        <v>0</v>
      </c>
      <c r="V204" s="14"/>
      <c r="X204" s="6"/>
      <c r="Y204" s="6"/>
    </row>
    <row r="205" spans="1:25" outlineLevel="3" x14ac:dyDescent="0.3">
      <c r="A205" s="203" t="s">
        <v>368</v>
      </c>
      <c r="B205" s="155">
        <f t="shared" si="19"/>
        <v>200</v>
      </c>
      <c r="C205" s="10" t="s">
        <v>1477</v>
      </c>
      <c r="D205" s="10">
        <v>3</v>
      </c>
      <c r="E205" s="10">
        <v>7</v>
      </c>
      <c r="F205" s="1222"/>
      <c r="G205" s="10" t="s">
        <v>369</v>
      </c>
      <c r="H205" s="13" t="s">
        <v>274</v>
      </c>
      <c r="I205" s="1214">
        <v>300</v>
      </c>
      <c r="J205" s="1214">
        <v>0</v>
      </c>
      <c r="K205" s="21">
        <f>VLOOKUP(Tabelle1[[#This Row],[Titel]],[2]Haushalt!$A:$S,19,FALSE)</f>
        <v>0</v>
      </c>
      <c r="L205" s="21">
        <f>PSY!E18</f>
        <v>200</v>
      </c>
      <c r="M205" s="944">
        <f>VLOOKUP(Tabelle1[[#This Row],[Titel]],[3]Haushalt!$A$8:$W$282,8,FALSE)</f>
        <v>0</v>
      </c>
      <c r="N205" s="21">
        <v>500</v>
      </c>
      <c r="O205" s="21">
        <f>PSY!I18</f>
        <v>200</v>
      </c>
      <c r="P205" s="751">
        <f>PSY!J18</f>
        <v>0</v>
      </c>
      <c r="Q205" s="21"/>
      <c r="R205" s="21"/>
      <c r="S205" s="21">
        <f>HHJ_2022_2023!H225</f>
        <v>0</v>
      </c>
      <c r="T205" s="21">
        <f>HHJ_2022_2023!J225</f>
        <v>0</v>
      </c>
      <c r="U205" s="21">
        <f>HHJ_2022_2023!L225</f>
        <v>0</v>
      </c>
      <c r="V205" s="14"/>
      <c r="Y205" s="6"/>
    </row>
    <row r="206" spans="1:25" outlineLevel="3" x14ac:dyDescent="0.3">
      <c r="A206" s="203" t="s">
        <v>370</v>
      </c>
      <c r="B206" s="155">
        <f t="shared" si="19"/>
        <v>201</v>
      </c>
      <c r="C206" s="10" t="s">
        <v>1477</v>
      </c>
      <c r="D206" s="10">
        <v>3</v>
      </c>
      <c r="E206" s="10">
        <v>8</v>
      </c>
      <c r="F206" s="1222"/>
      <c r="G206" s="10" t="s">
        <v>371</v>
      </c>
      <c r="H206" s="13" t="s">
        <v>277</v>
      </c>
      <c r="I206" s="1214">
        <v>300</v>
      </c>
      <c r="J206" s="1214">
        <v>0</v>
      </c>
      <c r="K206" s="21">
        <f>VLOOKUP(Tabelle1[[#This Row],[Titel]],[2]Haushalt!$A:$S,19,FALSE)</f>
        <v>0</v>
      </c>
      <c r="L206" s="21">
        <f>ReWi!E18</f>
        <v>0</v>
      </c>
      <c r="M206" s="944">
        <f>VLOOKUP(Tabelle1[[#This Row],[Titel]],[3]Haushalt!$A$8:$W$282,8,FALSE)</f>
        <v>0</v>
      </c>
      <c r="N206" s="21">
        <v>450</v>
      </c>
      <c r="O206" s="21">
        <f>ReWi!I18</f>
        <v>300</v>
      </c>
      <c r="P206" s="751">
        <f>ReWi!J18</f>
        <v>0</v>
      </c>
      <c r="Q206" s="21"/>
      <c r="R206" s="21"/>
      <c r="S206" s="21">
        <f>HHJ_2022_2023!H235</f>
        <v>0</v>
      </c>
      <c r="T206" s="21">
        <f>HHJ_2022_2023!J235</f>
        <v>0</v>
      </c>
      <c r="U206" s="21">
        <f>HHJ_2022_2023!L235</f>
        <v>0</v>
      </c>
      <c r="V206" s="14"/>
      <c r="X206" s="6"/>
      <c r="Y206" s="6"/>
    </row>
    <row r="207" spans="1:25" outlineLevel="3" x14ac:dyDescent="0.3">
      <c r="A207" s="203" t="s">
        <v>372</v>
      </c>
      <c r="B207" s="155">
        <f t="shared" si="19"/>
        <v>202</v>
      </c>
      <c r="C207" s="10" t="s">
        <v>1477</v>
      </c>
      <c r="D207" s="10">
        <v>3</v>
      </c>
      <c r="E207" s="10">
        <v>9</v>
      </c>
      <c r="F207" s="1222"/>
      <c r="G207" s="10" t="s">
        <v>373</v>
      </c>
      <c r="H207" s="13" t="s">
        <v>280</v>
      </c>
      <c r="I207" s="1215">
        <v>300</v>
      </c>
      <c r="J207" s="1214">
        <v>0</v>
      </c>
      <c r="K207" s="21">
        <f>VLOOKUP(Tabelle1[[#This Row],[Titel]],[2]Haushalt!$A:$S,19,FALSE)</f>
        <v>0</v>
      </c>
      <c r="L207" s="21">
        <f>M_I!G18</f>
        <v>250</v>
      </c>
      <c r="M207" s="944">
        <f>VLOOKUP(Tabelle1[[#This Row],[Titel]],[3]Haushalt!$A$8:$W$282,8,FALSE)</f>
        <v>160</v>
      </c>
      <c r="N207" s="21">
        <v>250</v>
      </c>
      <c r="O207" s="21">
        <f>M_I!K18</f>
        <v>200</v>
      </c>
      <c r="P207" s="751">
        <f>M_I!L18</f>
        <v>0</v>
      </c>
      <c r="Q207" s="21"/>
      <c r="R207" s="21"/>
      <c r="S207" s="21">
        <f>HHJ_2022_2023!H245</f>
        <v>0</v>
      </c>
      <c r="T207" s="21">
        <f>HHJ_2022_2023!J245</f>
        <v>0</v>
      </c>
      <c r="U207" s="21">
        <f>HHJ_2022_2023!L245</f>
        <v>0</v>
      </c>
      <c r="V207" s="14"/>
      <c r="Y207" s="6"/>
    </row>
    <row r="208" spans="1:25" outlineLevel="2" x14ac:dyDescent="0.3">
      <c r="A208" s="202" t="s">
        <v>374</v>
      </c>
      <c r="B208" s="156">
        <f t="shared" si="19"/>
        <v>203</v>
      </c>
      <c r="C208" s="1223"/>
      <c r="D208" s="1223"/>
      <c r="E208" s="1223"/>
      <c r="F208" s="1223"/>
      <c r="G208" s="10"/>
      <c r="H208" s="10" t="s">
        <v>375</v>
      </c>
      <c r="I208" s="749">
        <f>SUBTOTAL(9,I209:I213)</f>
        <v>3500</v>
      </c>
      <c r="J208" s="749">
        <f>SUBTOTAL(9,J209:J213)</f>
        <v>1500</v>
      </c>
      <c r="K208" s="749">
        <f>VLOOKUP(Tabelle1[[#This Row],[Titel]],[2]Haushalt!$A:$S,19,FALSE)</f>
        <v>0</v>
      </c>
      <c r="L208" s="749">
        <f>SUBTOTAL(9,L209:L213)</f>
        <v>7250</v>
      </c>
      <c r="M208" s="943">
        <f>VLOOKUP(Tabelle1[[#This Row],[Titel]],[3]Haushalt!$A$8:$W$282,8,FALSE)</f>
        <v>160</v>
      </c>
      <c r="N208" s="749">
        <f>SUBTOTAL(9,N209:N213)</f>
        <v>4300</v>
      </c>
      <c r="O208" s="749">
        <f>SUBTOTAL(9,O209:O213)</f>
        <v>12000</v>
      </c>
      <c r="P208" s="749">
        <f>SUBTOTAL(9,P209:P213)</f>
        <v>0</v>
      </c>
      <c r="Q208" s="21"/>
      <c r="R208" s="21"/>
      <c r="S208" s="749">
        <f>SUBTOTAL(9,S209:S213)</f>
        <v>0</v>
      </c>
      <c r="T208" s="749">
        <f>SUBTOTAL(9,T209:T213)</f>
        <v>0</v>
      </c>
      <c r="U208" s="749">
        <f>SUBTOTAL(9,U209:U213)</f>
        <v>0</v>
      </c>
      <c r="V208" s="14"/>
      <c r="X208" s="6"/>
      <c r="Y208" s="6"/>
    </row>
    <row r="209" spans="1:25" outlineLevel="3" x14ac:dyDescent="0.3">
      <c r="A209" s="203" t="s">
        <v>376</v>
      </c>
      <c r="B209" s="155">
        <f t="shared" si="19"/>
        <v>204</v>
      </c>
      <c r="C209" s="10" t="s">
        <v>1476</v>
      </c>
      <c r="D209" s="10">
        <v>3</v>
      </c>
      <c r="E209" s="10">
        <v>5</v>
      </c>
      <c r="F209" s="1222"/>
      <c r="G209" s="10" t="s">
        <v>377</v>
      </c>
      <c r="H209" s="13" t="s">
        <v>268</v>
      </c>
      <c r="I209" s="1212">
        <v>500</v>
      </c>
      <c r="J209" s="1212">
        <v>500</v>
      </c>
      <c r="K209" s="21">
        <f>VLOOKUP(Tabelle1[[#This Row],[Titel]],[2]Haushalt!$A:$S,19,FALSE)</f>
        <v>0</v>
      </c>
      <c r="L209" s="21">
        <f>WiWi!G19</f>
        <v>500</v>
      </c>
      <c r="M209" s="944">
        <f>VLOOKUP(Tabelle1[[#This Row],[Titel]],[3]Haushalt!$A$8:$W$282,8,FALSE)</f>
        <v>0</v>
      </c>
      <c r="N209" s="21">
        <v>3000</v>
      </c>
      <c r="O209" s="21">
        <f>WiWi!K19</f>
        <v>4000</v>
      </c>
      <c r="P209" s="751">
        <f>WiWi!L19</f>
        <v>0</v>
      </c>
      <c r="Q209" s="21"/>
      <c r="R209" s="21"/>
      <c r="S209" s="21">
        <f>HHJ_2022_2023!H204</f>
        <v>0</v>
      </c>
      <c r="T209" s="21">
        <f>HHJ_2022_2023!J204</f>
        <v>0</v>
      </c>
      <c r="U209" s="21">
        <f>HHJ_2022_2023!L204</f>
        <v>0</v>
      </c>
      <c r="V209" s="14"/>
      <c r="Y209" s="6"/>
    </row>
    <row r="210" spans="1:25" outlineLevel="3" x14ac:dyDescent="0.3">
      <c r="A210" s="203" t="s">
        <v>378</v>
      </c>
      <c r="B210" s="155">
        <f t="shared" si="19"/>
        <v>205</v>
      </c>
      <c r="C210" s="10" t="s">
        <v>1476</v>
      </c>
      <c r="D210" s="10">
        <v>3</v>
      </c>
      <c r="E210" s="10">
        <v>6</v>
      </c>
      <c r="F210" s="1222"/>
      <c r="G210" s="10" t="s">
        <v>379</v>
      </c>
      <c r="H210" s="13" t="s">
        <v>271</v>
      </c>
      <c r="I210" s="1212">
        <v>500</v>
      </c>
      <c r="J210" s="1212">
        <v>0</v>
      </c>
      <c r="K210" s="21">
        <f>VLOOKUP(Tabelle1[[#This Row],[Titel]],[2]Haushalt!$A:$S,19,FALSE)</f>
        <v>0</v>
      </c>
      <c r="L210" s="21">
        <f>KSW!E19</f>
        <v>4500</v>
      </c>
      <c r="M210" s="944">
        <f>VLOOKUP(Tabelle1[[#This Row],[Titel]],[3]Haushalt!$A$8:$W$282,8,FALSE)</f>
        <v>0</v>
      </c>
      <c r="N210" s="21">
        <v>200</v>
      </c>
      <c r="O210" s="21">
        <f>KSW!I19</f>
        <v>500</v>
      </c>
      <c r="P210" s="751">
        <f>KSW!J19</f>
        <v>0</v>
      </c>
      <c r="Q210" s="21"/>
      <c r="R210" s="21"/>
      <c r="S210" s="21">
        <f>HHJ_2022_2023!H214</f>
        <v>0</v>
      </c>
      <c r="T210" s="21">
        <f>HHJ_2022_2023!J214</f>
        <v>0</v>
      </c>
      <c r="U210" s="21">
        <f>HHJ_2022_2023!L214</f>
        <v>0</v>
      </c>
      <c r="V210" s="14"/>
      <c r="X210" s="6"/>
      <c r="Y210" s="6"/>
    </row>
    <row r="211" spans="1:25" outlineLevel="3" x14ac:dyDescent="0.3">
      <c r="A211" s="203" t="s">
        <v>380</v>
      </c>
      <c r="B211" s="155">
        <f t="shared" si="19"/>
        <v>206</v>
      </c>
      <c r="C211" s="10" t="s">
        <v>1476</v>
      </c>
      <c r="D211" s="10">
        <v>3</v>
      </c>
      <c r="E211" s="10">
        <v>7</v>
      </c>
      <c r="F211" s="1222"/>
      <c r="G211" s="10" t="s">
        <v>381</v>
      </c>
      <c r="H211" s="13" t="s">
        <v>274</v>
      </c>
      <c r="I211" s="1212">
        <v>500</v>
      </c>
      <c r="J211" s="1212">
        <v>0</v>
      </c>
      <c r="K211" s="21">
        <f>VLOOKUP(Tabelle1[[#This Row],[Titel]],[2]Haushalt!$A:$S,19,FALSE)</f>
        <v>0</v>
      </c>
      <c r="L211" s="21">
        <f>PSY!E19</f>
        <v>500</v>
      </c>
      <c r="M211" s="944">
        <f>VLOOKUP(Tabelle1[[#This Row],[Titel]],[3]Haushalt!$A$8:$W$282,8,FALSE)</f>
        <v>0</v>
      </c>
      <c r="N211" s="21">
        <v>600</v>
      </c>
      <c r="O211" s="21">
        <f>PSY!I19</f>
        <v>2000</v>
      </c>
      <c r="P211" s="751">
        <f>PSY!J19</f>
        <v>0</v>
      </c>
      <c r="Q211" s="21"/>
      <c r="R211" s="21"/>
      <c r="S211" s="21">
        <f>HHJ_2022_2023!H224</f>
        <v>0</v>
      </c>
      <c r="T211" s="21">
        <f>HHJ_2022_2023!J224</f>
        <v>0</v>
      </c>
      <c r="U211" s="21">
        <f>HHJ_2022_2023!L224</f>
        <v>0</v>
      </c>
      <c r="V211" s="14"/>
      <c r="Y211" s="6"/>
    </row>
    <row r="212" spans="1:25" outlineLevel="3" x14ac:dyDescent="0.3">
      <c r="A212" s="203" t="s">
        <v>382</v>
      </c>
      <c r="B212" s="155">
        <f t="shared" si="19"/>
        <v>207</v>
      </c>
      <c r="C212" s="10" t="s">
        <v>1476</v>
      </c>
      <c r="D212" s="10">
        <v>3</v>
      </c>
      <c r="E212" s="10">
        <v>8</v>
      </c>
      <c r="F212" s="1222"/>
      <c r="G212" s="10" t="s">
        <v>383</v>
      </c>
      <c r="H212" s="13" t="s">
        <v>277</v>
      </c>
      <c r="I212" s="1212">
        <v>1500</v>
      </c>
      <c r="J212" s="1212">
        <v>750</v>
      </c>
      <c r="K212" s="21">
        <f>VLOOKUP(Tabelle1[[#This Row],[Titel]],[2]Haushalt!$A:$S,19,FALSE)</f>
        <v>0</v>
      </c>
      <c r="L212" s="21">
        <f>ReWi!E19</f>
        <v>1500</v>
      </c>
      <c r="M212" s="944">
        <f>VLOOKUP(Tabelle1[[#This Row],[Titel]],[3]Haushalt!$A$8:$W$282,8,FALSE)</f>
        <v>0</v>
      </c>
      <c r="N212" s="21">
        <v>400</v>
      </c>
      <c r="O212" s="21">
        <f>ReWi!I19</f>
        <v>4000</v>
      </c>
      <c r="P212" s="751">
        <f>ReWi!J19</f>
        <v>0</v>
      </c>
      <c r="Q212" s="21"/>
      <c r="R212" s="21"/>
      <c r="S212" s="21">
        <f>HHJ_2022_2023!H234</f>
        <v>0</v>
      </c>
      <c r="T212" s="21">
        <f>HHJ_2022_2023!J234</f>
        <v>0</v>
      </c>
      <c r="U212" s="21">
        <f>HHJ_2022_2023!L234</f>
        <v>0</v>
      </c>
      <c r="V212" s="14"/>
      <c r="X212" s="6"/>
      <c r="Y212" s="6"/>
    </row>
    <row r="213" spans="1:25" outlineLevel="3" x14ac:dyDescent="0.3">
      <c r="A213" s="203" t="s">
        <v>372</v>
      </c>
      <c r="B213" s="155">
        <f t="shared" si="19"/>
        <v>208</v>
      </c>
      <c r="C213" s="10" t="s">
        <v>1476</v>
      </c>
      <c r="D213" s="10">
        <v>3</v>
      </c>
      <c r="E213" s="10">
        <v>9</v>
      </c>
      <c r="F213" s="1222"/>
      <c r="G213" s="10" t="s">
        <v>384</v>
      </c>
      <c r="H213" s="13" t="s">
        <v>280</v>
      </c>
      <c r="I213" s="1212">
        <v>500</v>
      </c>
      <c r="J213" s="1212">
        <v>250</v>
      </c>
      <c r="K213" s="21">
        <f>VLOOKUP(Tabelle1[[#This Row],[Titel]],[2]Haushalt!$A:$S,19,FALSE)</f>
        <v>0</v>
      </c>
      <c r="L213" s="21">
        <f>M_I!G19</f>
        <v>250</v>
      </c>
      <c r="M213" s="944">
        <f>VLOOKUP(Tabelle1[[#This Row],[Titel]],[3]Haushalt!$A$8:$W$282,8,FALSE)</f>
        <v>160</v>
      </c>
      <c r="N213" s="21">
        <v>100</v>
      </c>
      <c r="O213" s="21">
        <f>M_I!K19</f>
        <v>1500</v>
      </c>
      <c r="P213" s="751">
        <f>M_I!L19</f>
        <v>0</v>
      </c>
      <c r="Q213" s="21"/>
      <c r="R213" s="21"/>
      <c r="S213" s="21">
        <f>HHJ_2022_2023!H244</f>
        <v>0</v>
      </c>
      <c r="T213" s="21">
        <f>HHJ_2022_2023!J244</f>
        <v>0</v>
      </c>
      <c r="U213" s="21">
        <f>HHJ_2022_2023!L244</f>
        <v>0</v>
      </c>
      <c r="V213" s="14"/>
      <c r="Y213" s="6"/>
    </row>
    <row r="214" spans="1:25" outlineLevel="2" x14ac:dyDescent="0.3">
      <c r="A214" s="202" t="s">
        <v>385</v>
      </c>
      <c r="B214" s="154">
        <f t="shared" si="19"/>
        <v>209</v>
      </c>
      <c r="C214" s="10"/>
      <c r="D214" s="10"/>
      <c r="E214" s="10"/>
      <c r="F214" s="1223"/>
      <c r="G214" s="10"/>
      <c r="H214" s="10" t="s">
        <v>1528</v>
      </c>
      <c r="I214" s="749">
        <f>SUBTOTAL(9,I215:I219)</f>
        <v>6600</v>
      </c>
      <c r="J214" s="749">
        <f>SUBTOTAL(9,J215:J219)</f>
        <v>600</v>
      </c>
      <c r="K214" s="749">
        <f>VLOOKUP(Tabelle1[[#This Row],[Titel]],[2]Haushalt!$A:$S,19,FALSE)</f>
        <v>438.32800000000003</v>
      </c>
      <c r="L214" s="749">
        <f>SUBTOTAL(9,L215:L219)</f>
        <v>5000</v>
      </c>
      <c r="M214" s="943">
        <f>VLOOKUP(Tabelle1[[#This Row],[Titel]],[3]Haushalt!$A$8:$W$282,8,FALSE)</f>
        <v>491.12</v>
      </c>
      <c r="N214" s="749">
        <f>SUBTOTAL(9,N215:N219)</f>
        <v>10720</v>
      </c>
      <c r="O214" s="749">
        <f>SUBTOTAL(9,O215:O219)</f>
        <v>0</v>
      </c>
      <c r="P214" s="749">
        <f>SUBTOTAL(9,P215:P219)</f>
        <v>5276.7</v>
      </c>
      <c r="Q214" s="21"/>
      <c r="R214" s="21"/>
      <c r="S214" s="749">
        <f>SUBTOTAL(9,S215:S219)</f>
        <v>36.800000000000004</v>
      </c>
      <c r="T214" s="749">
        <f>SUBTOTAL(9,T215:T219)</f>
        <v>117.89700000000001</v>
      </c>
      <c r="U214" s="749">
        <f>SUBTOTAL(9,U215:U219)</f>
        <v>120.89700000000001</v>
      </c>
      <c r="V214" s="14"/>
      <c r="X214" s="6"/>
      <c r="Y214" s="6"/>
    </row>
    <row r="215" spans="1:25" outlineLevel="3" x14ac:dyDescent="0.3">
      <c r="A215" s="203" t="s">
        <v>386</v>
      </c>
      <c r="B215" s="155">
        <f t="shared" si="19"/>
        <v>210</v>
      </c>
      <c r="C215" s="10">
        <v>6631</v>
      </c>
      <c r="D215" s="10">
        <v>1</v>
      </c>
      <c r="E215" s="10">
        <v>5</v>
      </c>
      <c r="F215" s="1222"/>
      <c r="G215" s="10" t="s">
        <v>387</v>
      </c>
      <c r="H215" s="13" t="s">
        <v>268</v>
      </c>
      <c r="I215" s="1212">
        <v>5000</v>
      </c>
      <c r="J215" s="1212">
        <v>500</v>
      </c>
      <c r="K215" s="21">
        <f>VLOOKUP(Tabelle1[[#This Row],[Titel]],[2]Haushalt!$A:$S,19,FALSE)</f>
        <v>212.37300000000002</v>
      </c>
      <c r="L215" s="21">
        <f>WiWi!G20</f>
        <v>3500</v>
      </c>
      <c r="M215" s="944">
        <f>VLOOKUP(Tabelle1[[#This Row],[Titel]],[3]Haushalt!$A$8:$W$282,8,FALSE)</f>
        <v>241.4</v>
      </c>
      <c r="N215" s="21">
        <v>4000</v>
      </c>
      <c r="O215" s="21">
        <f>WiWi!K20</f>
        <v>0</v>
      </c>
      <c r="P215" s="751">
        <f>WiWi!L21</f>
        <v>2507.77</v>
      </c>
      <c r="Q215" s="21"/>
      <c r="R215" s="21"/>
      <c r="S215" s="21">
        <f>HHJ_2022_2023!H206*0.1</f>
        <v>26.900000000000002</v>
      </c>
      <c r="T215" s="21">
        <f>HHJ_2022_2023!J206*0.1</f>
        <v>68.097000000000008</v>
      </c>
      <c r="U215" s="21">
        <f>HHJ_2022_2023!L206*0.1</f>
        <v>68.097000000000008</v>
      </c>
      <c r="V215" s="14"/>
      <c r="Y215" s="6"/>
    </row>
    <row r="216" spans="1:25" outlineLevel="3" x14ac:dyDescent="0.3">
      <c r="A216" s="203" t="s">
        <v>388</v>
      </c>
      <c r="B216" s="155">
        <f t="shared" si="19"/>
        <v>211</v>
      </c>
      <c r="C216" s="10">
        <v>6631</v>
      </c>
      <c r="D216" s="10">
        <v>1</v>
      </c>
      <c r="E216" s="10">
        <v>6</v>
      </c>
      <c r="F216" s="1222"/>
      <c r="G216" s="10" t="s">
        <v>389</v>
      </c>
      <c r="H216" s="13" t="s">
        <v>271</v>
      </c>
      <c r="I216" s="1212">
        <v>500</v>
      </c>
      <c r="J216" s="1212">
        <v>100</v>
      </c>
      <c r="K216" s="21">
        <f>VLOOKUP(Tabelle1[[#This Row],[Titel]],[2]Haushalt!$A:$S,19,FALSE)</f>
        <v>23.821000000000002</v>
      </c>
      <c r="L216" s="21">
        <f>KSW!E20</f>
        <v>1500</v>
      </c>
      <c r="M216" s="944">
        <f>VLOOKUP(Tabelle1[[#This Row],[Titel]],[3]Haushalt!$A$8:$W$282,8,FALSE)</f>
        <v>24</v>
      </c>
      <c r="N216" s="21">
        <v>1500</v>
      </c>
      <c r="O216" s="21">
        <f>KSW!I20</f>
        <v>0</v>
      </c>
      <c r="P216" s="751">
        <f>KSW!J21</f>
        <v>30</v>
      </c>
      <c r="Q216" s="21"/>
      <c r="R216" s="21"/>
      <c r="S216" s="21">
        <f>HHJ_2022_2023!H216*0.1</f>
        <v>0</v>
      </c>
      <c r="T216" s="21">
        <f>HHJ_2022_2023!J216*0.1</f>
        <v>24</v>
      </c>
      <c r="U216" s="21">
        <f>HHJ_2022_2023!L216*0.1</f>
        <v>24</v>
      </c>
      <c r="V216" s="14"/>
      <c r="X216" s="6"/>
      <c r="Y216" s="6"/>
    </row>
    <row r="217" spans="1:25" outlineLevel="3" x14ac:dyDescent="0.3">
      <c r="A217" s="203" t="s">
        <v>390</v>
      </c>
      <c r="B217" s="155">
        <f t="shared" si="19"/>
        <v>212</v>
      </c>
      <c r="C217" s="10">
        <v>6631</v>
      </c>
      <c r="D217" s="10">
        <v>1</v>
      </c>
      <c r="E217" s="10">
        <v>7</v>
      </c>
      <c r="F217" s="1222"/>
      <c r="G217" s="10" t="s">
        <v>391</v>
      </c>
      <c r="H217" s="13" t="s">
        <v>274</v>
      </c>
      <c r="I217" s="1212">
        <v>500</v>
      </c>
      <c r="J217" s="1212">
        <v>0</v>
      </c>
      <c r="K217" s="21">
        <f>VLOOKUP(Tabelle1[[#This Row],[Titel]],[2]Haushalt!$A:$S,19,FALSE)</f>
        <v>0</v>
      </c>
      <c r="L217" s="21">
        <f>PSY!E20</f>
        <v>0</v>
      </c>
      <c r="M217" s="944">
        <f>VLOOKUP(Tabelle1[[#This Row],[Titel]],[3]Haushalt!$A$8:$W$282,8,FALSE)</f>
        <v>3</v>
      </c>
      <c r="N217" s="21">
        <v>2620</v>
      </c>
      <c r="O217" s="21">
        <f>PSY!I20</f>
        <v>0</v>
      </c>
      <c r="P217" s="751">
        <f>PSY!J21</f>
        <v>30</v>
      </c>
      <c r="Q217" s="21"/>
      <c r="R217" s="21"/>
      <c r="S217" s="21">
        <f>HHJ_2022_2023!H226*0.1</f>
        <v>0</v>
      </c>
      <c r="T217" s="21">
        <f>HHJ_2022_2023!J226*0.1</f>
        <v>0</v>
      </c>
      <c r="U217" s="21">
        <f>HHJ_2022_2023!L226*0.1</f>
        <v>3</v>
      </c>
      <c r="V217" s="14"/>
      <c r="Y217" s="6"/>
    </row>
    <row r="218" spans="1:25" outlineLevel="3" x14ac:dyDescent="0.3">
      <c r="A218" s="203" t="s">
        <v>392</v>
      </c>
      <c r="B218" s="155">
        <f t="shared" si="19"/>
        <v>213</v>
      </c>
      <c r="C218" s="10">
        <v>6631</v>
      </c>
      <c r="D218" s="10">
        <v>1</v>
      </c>
      <c r="E218" s="10">
        <v>8</v>
      </c>
      <c r="F218" s="1222"/>
      <c r="G218" s="10" t="s">
        <v>393</v>
      </c>
      <c r="H218" s="13" t="s">
        <v>277</v>
      </c>
      <c r="I218" s="1212">
        <v>100</v>
      </c>
      <c r="J218" s="1212">
        <v>0</v>
      </c>
      <c r="K218" s="21">
        <f>VLOOKUP(Tabelle1[[#This Row],[Titel]],[2]Haushalt!$A:$S,19,FALSE)</f>
        <v>183.59100000000001</v>
      </c>
      <c r="L218" s="21">
        <f>ReWi!E20</f>
        <v>0</v>
      </c>
      <c r="M218" s="944">
        <f>VLOOKUP(Tabelle1[[#This Row],[Titel]],[3]Haushalt!$A$8:$W$282,8,FALSE)</f>
        <v>214.36</v>
      </c>
      <c r="N218" s="21">
        <v>1700</v>
      </c>
      <c r="O218" s="21">
        <f>ReWi!I20</f>
        <v>0</v>
      </c>
      <c r="P218" s="751">
        <f>ReWi!J21</f>
        <v>2559.1</v>
      </c>
      <c r="Q218" s="21"/>
      <c r="R218" s="21"/>
      <c r="S218" s="21">
        <f>HHJ_2022_2023!H236*0.1</f>
        <v>9.9</v>
      </c>
      <c r="T218" s="21">
        <f>HHJ_2022_2023!J236*0.1</f>
        <v>25.8</v>
      </c>
      <c r="U218" s="21">
        <f>HHJ_2022_2023!L236*0.1</f>
        <v>25.8</v>
      </c>
      <c r="V218" s="14"/>
      <c r="X218" s="6"/>
      <c r="Y218" s="6"/>
    </row>
    <row r="219" spans="1:25" outlineLevel="3" x14ac:dyDescent="0.3">
      <c r="A219" s="203" t="s">
        <v>394</v>
      </c>
      <c r="B219" s="155">
        <f t="shared" si="19"/>
        <v>214</v>
      </c>
      <c r="C219" s="10">
        <v>6631</v>
      </c>
      <c r="D219" s="10">
        <v>1</v>
      </c>
      <c r="E219" s="10">
        <v>9</v>
      </c>
      <c r="F219" s="1222"/>
      <c r="G219" s="10" t="s">
        <v>395</v>
      </c>
      <c r="H219" s="13" t="s">
        <v>280</v>
      </c>
      <c r="I219" s="1212">
        <v>500</v>
      </c>
      <c r="J219" s="1212">
        <v>0</v>
      </c>
      <c r="K219" s="21">
        <f>VLOOKUP(Tabelle1[[#This Row],[Titel]],[2]Haushalt!$A:$S,19,FALSE)</f>
        <v>18.543000000000003</v>
      </c>
      <c r="L219" s="21">
        <f>M_I!G20</f>
        <v>0</v>
      </c>
      <c r="M219" s="944">
        <f>VLOOKUP(Tabelle1[[#This Row],[Titel]],[3]Haushalt!$A$8:$W$282,8,FALSE)</f>
        <v>8.36</v>
      </c>
      <c r="N219" s="21">
        <v>900</v>
      </c>
      <c r="O219" s="21">
        <f>M_I!K20</f>
        <v>0</v>
      </c>
      <c r="P219" s="751">
        <f>M_I!L21</f>
        <v>149.83000000000001</v>
      </c>
      <c r="Q219" s="21"/>
      <c r="R219" s="21"/>
      <c r="S219" s="21">
        <f>HHJ_2022_2023!H246*0.1</f>
        <v>0</v>
      </c>
      <c r="T219" s="21">
        <f>HHJ_2022_2023!J246*0.1</f>
        <v>0</v>
      </c>
      <c r="U219" s="21">
        <f>HHJ_2022_2023!L246*0.1</f>
        <v>0</v>
      </c>
      <c r="V219" s="14"/>
      <c r="Y219" s="6"/>
    </row>
    <row r="220" spans="1:25" outlineLevel="2" x14ac:dyDescent="0.3">
      <c r="A220" s="202" t="s">
        <v>396</v>
      </c>
      <c r="B220" s="154">
        <f t="shared" si="19"/>
        <v>215</v>
      </c>
      <c r="C220" s="10"/>
      <c r="D220" s="10"/>
      <c r="E220" s="10"/>
      <c r="F220" s="1223"/>
      <c r="G220" s="10"/>
      <c r="H220" s="10" t="s">
        <v>397</v>
      </c>
      <c r="I220" s="749">
        <f>SUBTOTAL(9,I221:I225)</f>
        <v>6000</v>
      </c>
      <c r="J220" s="749">
        <f>SUBTOTAL(9,J221:J225)</f>
        <v>6400</v>
      </c>
      <c r="K220" s="749">
        <f>VLOOKUP(Tabelle1[[#This Row],[Titel]],[2]Haushalt!$A:$S,19,FALSE)</f>
        <v>3944.9520000000007</v>
      </c>
      <c r="L220" s="749">
        <f>SUBTOTAL(9,L221:L225)</f>
        <v>8300</v>
      </c>
      <c r="M220" s="943">
        <f>VLOOKUP(Tabelle1[[#This Row],[Titel]],[3]Haushalt!$A$8:$W$282,8,FALSE)</f>
        <v>4420.04</v>
      </c>
      <c r="N220" s="749">
        <f>SUBTOTAL(9,N221:N225)</f>
        <v>10950</v>
      </c>
      <c r="O220" s="749">
        <f>SUBTOTAL(9,O221:O225)</f>
        <v>10000</v>
      </c>
      <c r="P220" s="749">
        <f>SUBTOTAL(9,P221:P225)</f>
        <v>0</v>
      </c>
      <c r="Q220" s="21"/>
      <c r="R220" s="21"/>
      <c r="S220" s="749">
        <f>SUBTOTAL(9,S221:S225)</f>
        <v>331.2</v>
      </c>
      <c r="T220" s="749">
        <f>SUBTOTAL(9,T221:T225)</f>
        <v>1061.0730000000001</v>
      </c>
      <c r="U220" s="749">
        <f>SUBTOTAL(9,U221:U225)</f>
        <v>1088.0730000000001</v>
      </c>
      <c r="V220" s="14"/>
      <c r="X220" s="6"/>
      <c r="Y220" s="6"/>
    </row>
    <row r="221" spans="1:25" outlineLevel="3" x14ac:dyDescent="0.3">
      <c r="A221" s="203" t="s">
        <v>398</v>
      </c>
      <c r="B221" s="155">
        <f t="shared" si="19"/>
        <v>216</v>
      </c>
      <c r="C221" s="1222" t="s">
        <v>1483</v>
      </c>
      <c r="D221" s="10">
        <v>1</v>
      </c>
      <c r="E221" s="10">
        <v>5</v>
      </c>
      <c r="F221" s="1222"/>
      <c r="G221" s="10" t="s">
        <v>399</v>
      </c>
      <c r="H221" s="13" t="s">
        <v>268</v>
      </c>
      <c r="I221" s="1212">
        <v>2000</v>
      </c>
      <c r="J221" s="1212">
        <v>3000</v>
      </c>
      <c r="K221" s="21">
        <f>VLOOKUP(Tabelle1[[#This Row],[Titel]],[2]Haushalt!$A:$S,19,FALSE)</f>
        <v>1911.357</v>
      </c>
      <c r="L221" s="21">
        <f>WiWi!G21</f>
        <v>2500</v>
      </c>
      <c r="M221" s="944">
        <f>VLOOKUP(Tabelle1[[#This Row],[Titel]],[3]Haushalt!$A$8:$W$282,8,FALSE)</f>
        <v>2172.58</v>
      </c>
      <c r="N221" s="21">
        <v>3400</v>
      </c>
      <c r="O221" s="21">
        <f>WiWi!K21</f>
        <v>4000</v>
      </c>
      <c r="P221" s="751">
        <v>0</v>
      </c>
      <c r="Q221" s="21"/>
      <c r="R221" s="21"/>
      <c r="S221" s="21">
        <f>HHJ_2022_2023!H206*0.9</f>
        <v>242.1</v>
      </c>
      <c r="T221" s="21">
        <f>HHJ_2022_2023!J206*0.9</f>
        <v>612.87300000000005</v>
      </c>
      <c r="U221" s="21">
        <f>HHJ_2022_2023!L206*0.9</f>
        <v>612.87300000000005</v>
      </c>
      <c r="V221" s="14"/>
      <c r="Y221" s="6"/>
    </row>
    <row r="222" spans="1:25" outlineLevel="3" x14ac:dyDescent="0.3">
      <c r="A222" s="203" t="s">
        <v>400</v>
      </c>
      <c r="B222" s="155">
        <f t="shared" si="19"/>
        <v>217</v>
      </c>
      <c r="C222" s="1222" t="s">
        <v>1483</v>
      </c>
      <c r="D222" s="10">
        <v>1</v>
      </c>
      <c r="E222" s="10">
        <v>6</v>
      </c>
      <c r="F222" s="1222"/>
      <c r="G222" s="10" t="s">
        <v>401</v>
      </c>
      <c r="H222" s="13" t="s">
        <v>271</v>
      </c>
      <c r="I222" s="1212">
        <v>500</v>
      </c>
      <c r="J222" s="1212">
        <v>500</v>
      </c>
      <c r="K222" s="21">
        <f>VLOOKUP(Tabelle1[[#This Row],[Titel]],[2]Haushalt!$A:$S,19,FALSE)</f>
        <v>214.38900000000001</v>
      </c>
      <c r="L222" s="21">
        <f>KSW!E21</f>
        <v>2300</v>
      </c>
      <c r="M222" s="944">
        <f>VLOOKUP(Tabelle1[[#This Row],[Titel]],[3]Haushalt!$A$8:$W$282,8,FALSE)</f>
        <v>216</v>
      </c>
      <c r="N222" s="21">
        <v>1800</v>
      </c>
      <c r="O222" s="21">
        <f>KSW!I21</f>
        <v>500</v>
      </c>
      <c r="P222" s="751">
        <v>0</v>
      </c>
      <c r="Q222" s="21"/>
      <c r="R222" s="21"/>
      <c r="S222" s="21">
        <f>HHJ_2022_2023!H216*0.9</f>
        <v>0</v>
      </c>
      <c r="T222" s="21">
        <f>HHJ_2022_2023!J216*0.9</f>
        <v>216</v>
      </c>
      <c r="U222" s="21">
        <f>HHJ_2022_2023!L216*0.9</f>
        <v>216</v>
      </c>
      <c r="V222" s="14"/>
      <c r="X222" s="6"/>
      <c r="Y222" s="6"/>
    </row>
    <row r="223" spans="1:25" outlineLevel="3" x14ac:dyDescent="0.3">
      <c r="A223" s="203" t="s">
        <v>402</v>
      </c>
      <c r="B223" s="155">
        <f t="shared" si="19"/>
        <v>218</v>
      </c>
      <c r="C223" s="1222" t="s">
        <v>1483</v>
      </c>
      <c r="D223" s="10">
        <v>1</v>
      </c>
      <c r="E223" s="10">
        <v>7</v>
      </c>
      <c r="F223" s="1222"/>
      <c r="G223" s="10" t="s">
        <v>403</v>
      </c>
      <c r="H223" s="13" t="s">
        <v>274</v>
      </c>
      <c r="I223" s="1212">
        <v>500</v>
      </c>
      <c r="J223" s="1212">
        <v>100</v>
      </c>
      <c r="K223" s="21">
        <f>VLOOKUP(Tabelle1[[#This Row],[Titel]],[2]Haushalt!$A:$S,19,FALSE)</f>
        <v>0</v>
      </c>
      <c r="L223" s="21">
        <f>PSY!E21</f>
        <v>1000</v>
      </c>
      <c r="M223" s="944">
        <f>VLOOKUP(Tabelle1[[#This Row],[Titel]],[3]Haushalt!$A$8:$W$282,8,FALSE)</f>
        <v>27</v>
      </c>
      <c r="N223" s="21">
        <v>1000</v>
      </c>
      <c r="O223" s="21">
        <f>PSY!I21</f>
        <v>1000</v>
      </c>
      <c r="P223" s="751">
        <v>0</v>
      </c>
      <c r="Q223" s="21"/>
      <c r="R223" s="21"/>
      <c r="S223" s="21">
        <f>HHJ_2022_2023!H226*0.9</f>
        <v>0</v>
      </c>
      <c r="T223" s="21">
        <f>HHJ_2022_2023!J226*0.9</f>
        <v>0</v>
      </c>
      <c r="U223" s="21">
        <f>HHJ_2022_2023!L226*0.9</f>
        <v>27</v>
      </c>
      <c r="V223" s="14"/>
      <c r="Y223" s="6"/>
    </row>
    <row r="224" spans="1:25" outlineLevel="3" x14ac:dyDescent="0.3">
      <c r="A224" s="203" t="s">
        <v>404</v>
      </c>
      <c r="B224" s="155">
        <f t="shared" si="19"/>
        <v>219</v>
      </c>
      <c r="C224" s="1222" t="s">
        <v>1483</v>
      </c>
      <c r="D224" s="10">
        <v>1</v>
      </c>
      <c r="E224" s="10">
        <v>8</v>
      </c>
      <c r="F224" s="1222"/>
      <c r="G224" s="10" t="s">
        <v>405</v>
      </c>
      <c r="H224" s="13" t="s">
        <v>277</v>
      </c>
      <c r="I224" s="1212">
        <v>2500</v>
      </c>
      <c r="J224" s="1212">
        <v>2500</v>
      </c>
      <c r="K224" s="21">
        <f>VLOOKUP(Tabelle1[[#This Row],[Titel]],[2]Haushalt!$A:$S,19,FALSE)</f>
        <v>1652.3190000000002</v>
      </c>
      <c r="L224" s="21">
        <f>ReWi!E21</f>
        <v>2000</v>
      </c>
      <c r="M224" s="944">
        <f>VLOOKUP(Tabelle1[[#This Row],[Titel]],[3]Haushalt!$A$8:$W$282,8,FALSE)</f>
        <v>1929.24</v>
      </c>
      <c r="N224" s="21">
        <v>3500</v>
      </c>
      <c r="O224" s="21">
        <f>ReWi!I21</f>
        <v>3000</v>
      </c>
      <c r="P224" s="751">
        <v>0</v>
      </c>
      <c r="Q224" s="21"/>
      <c r="R224" s="21"/>
      <c r="S224" s="21">
        <f>HHJ_2022_2023!H236*0.9</f>
        <v>89.100000000000009</v>
      </c>
      <c r="T224" s="21">
        <f>HHJ_2022_2023!J236*0.9</f>
        <v>232.20000000000002</v>
      </c>
      <c r="U224" s="21">
        <f>HHJ_2022_2023!L236*0.9</f>
        <v>232.20000000000002</v>
      </c>
      <c r="V224" s="14"/>
      <c r="X224" s="6"/>
      <c r="Y224" s="6"/>
    </row>
    <row r="225" spans="1:25" outlineLevel="3" x14ac:dyDescent="0.3">
      <c r="A225" s="203" t="s">
        <v>406</v>
      </c>
      <c r="B225" s="155">
        <f t="shared" si="19"/>
        <v>220</v>
      </c>
      <c r="C225" s="1222" t="s">
        <v>1483</v>
      </c>
      <c r="D225" s="10">
        <v>1</v>
      </c>
      <c r="E225" s="10">
        <v>9</v>
      </c>
      <c r="F225" s="1222"/>
      <c r="G225" s="10" t="s">
        <v>407</v>
      </c>
      <c r="H225" s="13" t="s">
        <v>280</v>
      </c>
      <c r="I225" s="1212">
        <v>500</v>
      </c>
      <c r="J225" s="1212">
        <v>300</v>
      </c>
      <c r="K225" s="21">
        <f>VLOOKUP(Tabelle1[[#This Row],[Titel]],[2]Haushalt!$A:$S,19,FALSE)</f>
        <v>166.887</v>
      </c>
      <c r="L225" s="21">
        <f>M_I!G21</f>
        <v>500</v>
      </c>
      <c r="M225" s="944">
        <f>VLOOKUP(Tabelle1[[#This Row],[Titel]],[3]Haushalt!$A$8:$W$282,8,FALSE)</f>
        <v>75.22</v>
      </c>
      <c r="N225" s="21">
        <v>1250</v>
      </c>
      <c r="O225" s="21">
        <f>M_I!K21</f>
        <v>1500</v>
      </c>
      <c r="P225" s="751">
        <v>0</v>
      </c>
      <c r="Q225" s="21"/>
      <c r="R225" s="21"/>
      <c r="S225" s="21">
        <f>HHJ_2022_2023!H246*0.9</f>
        <v>0</v>
      </c>
      <c r="T225" s="21">
        <f>HHJ_2022_2023!J246*0.9</f>
        <v>0</v>
      </c>
      <c r="U225" s="21">
        <f>HHJ_2022_2023!L246*0.9</f>
        <v>0</v>
      </c>
      <c r="V225" s="14"/>
      <c r="Y225" s="6"/>
    </row>
    <row r="226" spans="1:25" outlineLevel="2" x14ac:dyDescent="0.3">
      <c r="B226" s="151">
        <f t="shared" si="19"/>
        <v>221</v>
      </c>
      <c r="C226"/>
      <c r="D226"/>
      <c r="E226"/>
      <c r="M226" s="33"/>
      <c r="Q226" s="14"/>
      <c r="R226" s="14"/>
      <c r="S226" s="14"/>
      <c r="T226" s="14"/>
      <c r="U226" s="14"/>
      <c r="V226" s="14"/>
      <c r="X226" s="6"/>
      <c r="Y226" s="6"/>
    </row>
    <row r="227" spans="1:25" outlineLevel="1" x14ac:dyDescent="0.3">
      <c r="B227" s="151">
        <f>ROW(B222)</f>
        <v>222</v>
      </c>
      <c r="C227"/>
      <c r="D227"/>
      <c r="E227"/>
      <c r="M227" s="33"/>
      <c r="Q227" s="14"/>
      <c r="R227" s="14"/>
      <c r="S227" s="14"/>
      <c r="T227" s="14"/>
      <c r="U227" s="14"/>
      <c r="V227" s="14"/>
      <c r="Y227" s="6"/>
    </row>
    <row r="228" spans="1:25" outlineLevel="1" x14ac:dyDescent="0.3">
      <c r="A228" s="201" t="s">
        <v>408</v>
      </c>
      <c r="B228" s="153">
        <f>ROW(B222)</f>
        <v>222</v>
      </c>
      <c r="C228" s="9"/>
      <c r="D228" s="9"/>
      <c r="E228" s="9"/>
      <c r="F228" s="1227"/>
      <c r="G228" s="9"/>
      <c r="H228" s="9" t="s">
        <v>409</v>
      </c>
      <c r="I228" s="20">
        <f>SUBTOTAL(9,I229:I236)</f>
        <v>74500</v>
      </c>
      <c r="J228" s="20">
        <f>SUBTOTAL(9,J229:J236)</f>
        <v>39700</v>
      </c>
      <c r="K228" s="20">
        <f>VLOOKUP(Tabelle1[[#This Row],[Titel]],[2]Haushalt!$A:$S,19,FALSE)</f>
        <v>17393.306</v>
      </c>
      <c r="L228" s="20">
        <f>SUBTOTAL(9,L229:L236)</f>
        <v>229988</v>
      </c>
      <c r="M228" s="752">
        <f>VLOOKUP(Tabelle1[[#This Row],[Titel]],[3]Haushalt!$A$8:$W$282,8,FALSE)</f>
        <v>37860.17</v>
      </c>
      <c r="N228" s="20">
        <f>SUBTOTAL(9,N229:N236)</f>
        <v>88700</v>
      </c>
      <c r="O228" s="20">
        <f>SUBTOTAL(9,O229:O236)</f>
        <v>27850</v>
      </c>
      <c r="P228" s="20">
        <f>SUBTOTAL(9,P229:P236)</f>
        <v>21966.350000000002</v>
      </c>
      <c r="Q228" s="20"/>
      <c r="R228" s="20"/>
      <c r="S228" s="20">
        <f>SUBTOTAL(9,S229:S236)</f>
        <v>1882.4660000000001</v>
      </c>
      <c r="T228" s="20">
        <f>SUBTOTAL(9,T229:T236)</f>
        <v>10762.096000000001</v>
      </c>
      <c r="U228" s="20">
        <f>SUBTOTAL(9,U229:U236)</f>
        <v>11019.136</v>
      </c>
      <c r="V228" s="14"/>
      <c r="X228" s="6"/>
      <c r="Y228" s="6"/>
    </row>
    <row r="229" spans="1:25" hidden="1" outlineLevel="2" x14ac:dyDescent="0.3">
      <c r="A229" s="202" t="s">
        <v>410</v>
      </c>
      <c r="B229" s="154">
        <f>ROW(B223)</f>
        <v>223</v>
      </c>
      <c r="C229" s="10">
        <v>6830</v>
      </c>
      <c r="D229" s="10">
        <v>1</v>
      </c>
      <c r="E229" s="10">
        <v>3</v>
      </c>
      <c r="F229" s="1223"/>
      <c r="G229" s="10" t="s">
        <v>411</v>
      </c>
      <c r="H229" s="13" t="s">
        <v>412</v>
      </c>
      <c r="I229" s="1212">
        <v>4000</v>
      </c>
      <c r="J229" s="1212">
        <v>3200</v>
      </c>
      <c r="K229" s="1075">
        <f>VLOOKUP(Tabelle1[[#This Row],[Titel]],[2]Haushalt!$A:$S,19,FALSE)</f>
        <v>2450.21</v>
      </c>
      <c r="L229" s="1075">
        <f>'Leistungen Dritter'!R6</f>
        <v>5000</v>
      </c>
      <c r="M229" s="944">
        <f>VLOOKUP(Tabelle1[[#This Row],[Titel]],[3]Haushalt!$A$8:$W$282,8,FALSE)</f>
        <v>4416.1499999999996</v>
      </c>
      <c r="N229" s="21">
        <v>5000</v>
      </c>
      <c r="O229" s="21">
        <f>'Leistungen Dritter'!Y6</f>
        <v>5000</v>
      </c>
      <c r="P229" s="751">
        <v>3663.15</v>
      </c>
      <c r="Q229" s="21"/>
      <c r="R229" s="21"/>
      <c r="S229" s="21">
        <f>HHJ_2022_2023!H87</f>
        <v>273.11</v>
      </c>
      <c r="T229" s="21">
        <f>HHJ_2022_2023!J87</f>
        <v>546.22</v>
      </c>
      <c r="U229" s="21">
        <f>HHJ_2022_2023!L87</f>
        <v>803.26</v>
      </c>
      <c r="V229" s="14"/>
      <c r="Y229" s="6"/>
    </row>
    <row r="230" spans="1:25" hidden="1" outlineLevel="2" x14ac:dyDescent="0.3">
      <c r="A230" s="202" t="s">
        <v>413</v>
      </c>
      <c r="B230" s="154">
        <f>ROW(B224)</f>
        <v>224</v>
      </c>
      <c r="C230" s="10">
        <v>6307</v>
      </c>
      <c r="D230" s="10">
        <v>1</v>
      </c>
      <c r="E230" s="10">
        <v>3</v>
      </c>
      <c r="F230" s="1223"/>
      <c r="G230" s="10" t="s">
        <v>414</v>
      </c>
      <c r="H230" s="10" t="s">
        <v>415</v>
      </c>
      <c r="I230" s="1212">
        <v>2000</v>
      </c>
      <c r="J230" s="1212">
        <v>2000</v>
      </c>
      <c r="K230" s="1077">
        <f>VLOOKUP(Tabelle1[[#This Row],[Titel]],[2]Haushalt!$A:$S,19,FALSE)</f>
        <v>1071</v>
      </c>
      <c r="L230" s="1077">
        <v>2000</v>
      </c>
      <c r="M230" s="940">
        <f>VLOOKUP(Tabelle1[[#This Row],[Titel]],[3]Haushalt!$A$8:$W$282,8,FALSE)</f>
        <v>1561.88</v>
      </c>
      <c r="N230" s="21">
        <v>2500</v>
      </c>
      <c r="O230" s="21">
        <v>500</v>
      </c>
      <c r="P230" s="751">
        <v>1517.25</v>
      </c>
      <c r="Q230" s="21"/>
      <c r="R230" s="21"/>
      <c r="S230" s="21">
        <f>HHJ_2022_2023!H88</f>
        <v>1071</v>
      </c>
      <c r="T230" s="21">
        <f>HHJ_2022_2023!J88</f>
        <v>1071</v>
      </c>
      <c r="U230" s="21">
        <f>HHJ_2022_2023!L88</f>
        <v>1071</v>
      </c>
      <c r="V230" s="14"/>
      <c r="X230" s="6"/>
      <c r="Y230" s="6"/>
    </row>
    <row r="231" spans="1:25" hidden="1" outlineLevel="2" x14ac:dyDescent="0.3">
      <c r="A231" s="202" t="s">
        <v>416</v>
      </c>
      <c r="B231" s="154">
        <f>ROW(B225)</f>
        <v>225</v>
      </c>
      <c r="C231" s="10">
        <v>6495</v>
      </c>
      <c r="D231" s="10">
        <v>1</v>
      </c>
      <c r="E231" s="10">
        <v>3</v>
      </c>
      <c r="F231" s="1223"/>
      <c r="G231" s="10" t="s">
        <v>417</v>
      </c>
      <c r="H231" s="13" t="s">
        <v>418</v>
      </c>
      <c r="I231" s="1212">
        <v>20000</v>
      </c>
      <c r="J231" s="1212">
        <v>20000</v>
      </c>
      <c r="K231" s="1075">
        <f>VLOOKUP(Tabelle1[[#This Row],[Titel]],[2]Haushalt!$A:$S,19,FALSE)</f>
        <v>6798.7409999999991</v>
      </c>
      <c r="L231" s="1075">
        <f>'Leistungen Dritter'!K24</f>
        <v>85538</v>
      </c>
      <c r="M231" s="944">
        <f>VLOOKUP(Tabelle1[[#This Row],[Titel]],[3]Haushalt!$A$8:$W$282,8,FALSE)</f>
        <v>8570.2800000000007</v>
      </c>
      <c r="N231" s="21">
        <v>18750</v>
      </c>
      <c r="O231" s="21">
        <v>8900</v>
      </c>
      <c r="P231" s="751">
        <v>8863.92</v>
      </c>
      <c r="Q231" s="21"/>
      <c r="R231" s="21"/>
      <c r="S231" s="21">
        <f>(HHJ_2022_2023!H75*0.6)+HHJ_2022_2023!H77</f>
        <v>538.35599999999999</v>
      </c>
      <c r="T231" s="21">
        <f>(HHJ_2022_2023!J75*0.6)+HHJ_2022_2023!J77</f>
        <v>1122.4859999999999</v>
      </c>
      <c r="U231" s="21">
        <f>(HHJ_2022_2023!L75*0.6)+HHJ_2022_2023!L77</f>
        <v>1122.4859999999999</v>
      </c>
      <c r="V231" s="14"/>
      <c r="W231" t="s">
        <v>1395</v>
      </c>
      <c r="Y231" s="6"/>
    </row>
    <row r="232" spans="1:25" hidden="1" outlineLevel="2" x14ac:dyDescent="0.3">
      <c r="A232" s="202" t="s">
        <v>419</v>
      </c>
      <c r="B232" s="154">
        <f>ROW(B226)</f>
        <v>226</v>
      </c>
      <c r="C232" s="10">
        <v>6307</v>
      </c>
      <c r="D232" s="10">
        <v>1</v>
      </c>
      <c r="E232" s="10">
        <v>3</v>
      </c>
      <c r="F232" s="1223"/>
      <c r="G232" s="10" t="s">
        <v>41</v>
      </c>
      <c r="H232" s="10" t="s">
        <v>420</v>
      </c>
      <c r="I232" s="1212">
        <v>20000</v>
      </c>
      <c r="J232" s="1212">
        <v>1000</v>
      </c>
      <c r="K232" s="21">
        <f>VLOOKUP(Tabelle1[[#This Row],[Titel]],[2]Haushalt!$A:$S,19,FALSE)</f>
        <v>134.715</v>
      </c>
      <c r="L232" s="1077">
        <v>55000</v>
      </c>
      <c r="M232" s="940">
        <f>VLOOKUP(Tabelle1[[#This Row],[Titel]],[3]Haushalt!$A$8:$W$282,8,FALSE)</f>
        <v>0</v>
      </c>
      <c r="N232" s="21">
        <v>500</v>
      </c>
      <c r="O232" s="21">
        <v>0</v>
      </c>
      <c r="P232" s="750">
        <v>0</v>
      </c>
      <c r="Q232" s="21"/>
      <c r="R232" s="21"/>
      <c r="S232" s="21"/>
      <c r="T232" s="21"/>
      <c r="U232" s="21"/>
      <c r="V232" s="14"/>
      <c r="W232" t="s">
        <v>1394</v>
      </c>
      <c r="X232" s="6"/>
      <c r="Y232" s="6"/>
    </row>
    <row r="233" spans="1:25" hidden="1" outlineLevel="2" x14ac:dyDescent="0.3">
      <c r="A233" s="202" t="s">
        <v>421</v>
      </c>
      <c r="B233" s="154">
        <f t="shared" si="19"/>
        <v>228</v>
      </c>
      <c r="C233" s="10">
        <v>6825</v>
      </c>
      <c r="D233" s="10">
        <v>1</v>
      </c>
      <c r="E233" s="10">
        <v>1</v>
      </c>
      <c r="F233" s="1223"/>
      <c r="G233" s="10" t="s">
        <v>422</v>
      </c>
      <c r="H233" s="10" t="s">
        <v>1504</v>
      </c>
      <c r="I233" s="1212">
        <v>15000</v>
      </c>
      <c r="J233" s="1212">
        <v>10000</v>
      </c>
      <c r="K233" s="21">
        <f>VLOOKUP(Tabelle1[[#This Row],[Titel]],[2]Haushalt!$A:$S,19,FALSE)</f>
        <v>6938.64</v>
      </c>
      <c r="L233" s="1077">
        <v>25000</v>
      </c>
      <c r="M233" s="940">
        <f>VLOOKUP(Tabelle1[[#This Row],[Titel]],[3]Haushalt!$A$8:$W$282,8,FALSE)</f>
        <v>23311.86</v>
      </c>
      <c r="N233" s="21">
        <v>25000</v>
      </c>
      <c r="O233" s="21">
        <v>10500</v>
      </c>
      <c r="P233" s="751">
        <v>7761.38</v>
      </c>
      <c r="Q233" s="21"/>
      <c r="R233" s="21"/>
      <c r="S233" s="21">
        <f>HHJ_2022_2023!H86+HHJ_2022_2023!H176</f>
        <v>0</v>
      </c>
      <c r="T233" s="21">
        <f>HHJ_2022_2023!J86+HHJ_2022_2023!J176</f>
        <v>8022.39</v>
      </c>
      <c r="U233" s="21">
        <f>HHJ_2022_2023!L86+HHJ_2022_2023!L176</f>
        <v>8022.39</v>
      </c>
      <c r="V233" s="14"/>
      <c r="Y233" s="6"/>
    </row>
    <row r="234" spans="1:25" hidden="1" outlineLevel="2" x14ac:dyDescent="0.3">
      <c r="A234" s="202" t="s">
        <v>423</v>
      </c>
      <c r="B234" s="154">
        <f t="shared" si="19"/>
        <v>229</v>
      </c>
      <c r="C234" s="10">
        <v>6825</v>
      </c>
      <c r="D234" s="10">
        <v>1</v>
      </c>
      <c r="E234" s="10">
        <v>3</v>
      </c>
      <c r="F234" s="1223"/>
      <c r="G234" s="10" t="s">
        <v>41</v>
      </c>
      <c r="H234" s="10" t="s">
        <v>1505</v>
      </c>
      <c r="I234" s="1212">
        <v>2500</v>
      </c>
      <c r="J234" s="1212">
        <v>2500</v>
      </c>
      <c r="K234" s="21">
        <f>VLOOKUP(Tabelle1[[#This Row],[Titel]],[2]Haushalt!$A:$S,19,FALSE)</f>
        <v>0</v>
      </c>
      <c r="L234" s="1077">
        <v>5000</v>
      </c>
      <c r="M234" s="940">
        <f>VLOOKUP(Tabelle1[[#This Row],[Titel]],[3]Haushalt!$A$8:$W$282,8,FALSE)</f>
        <v>0</v>
      </c>
      <c r="N234" s="21">
        <v>10000</v>
      </c>
      <c r="O234" s="21">
        <v>0</v>
      </c>
      <c r="P234" s="750">
        <v>0</v>
      </c>
      <c r="Q234" s="21"/>
      <c r="R234" s="21"/>
      <c r="S234" s="21"/>
      <c r="T234" s="21"/>
      <c r="U234" s="21"/>
      <c r="V234" s="14"/>
      <c r="X234" s="6"/>
      <c r="Y234" s="6"/>
    </row>
    <row r="235" spans="1:25" hidden="1" outlineLevel="2" x14ac:dyDescent="0.3">
      <c r="A235" s="202" t="s">
        <v>424</v>
      </c>
      <c r="B235" s="154">
        <f>ROW(B230)</f>
        <v>230</v>
      </c>
      <c r="C235" s="10">
        <v>6825</v>
      </c>
      <c r="D235" s="10">
        <v>1</v>
      </c>
      <c r="E235" s="202" t="s">
        <v>1502</v>
      </c>
      <c r="F235" s="1223"/>
      <c r="G235" s="10" t="s">
        <v>425</v>
      </c>
      <c r="H235" s="10" t="s">
        <v>426</v>
      </c>
      <c r="I235" s="1212">
        <v>1000</v>
      </c>
      <c r="J235" s="1212">
        <v>1000</v>
      </c>
      <c r="K235" s="21">
        <f>VLOOKUP(Tabelle1[[#This Row],[Titel]],[2]Haushalt!$A:$S,19,FALSE)</f>
        <v>0</v>
      </c>
      <c r="L235" s="1077">
        <f>WiWi!G22+KSW!E22+PSY!E22+ReWi!E22+M_I!G22</f>
        <v>2450</v>
      </c>
      <c r="M235" s="940">
        <f>VLOOKUP(Tabelle1[[#This Row],[Titel]],[3]Haushalt!$A$8:$W$282,8,FALSE)</f>
        <v>0</v>
      </c>
      <c r="N235" s="21">
        <v>2950</v>
      </c>
      <c r="O235" s="21">
        <f>WiWi!I22+KSW!I22+PSY!I22+ReWi!I22+M_I!K22</f>
        <v>2950</v>
      </c>
      <c r="P235" s="751">
        <f>WiWi!L22+KSW!J22+PSY!J22+ReWi!J22+M_I!L22</f>
        <v>160.65</v>
      </c>
      <c r="Q235" s="21"/>
      <c r="R235" s="21"/>
      <c r="S235" s="21">
        <f>HHJ_2022_2023!H207+HHJ_2022_2023!H217+HHJ_2022_2023!H227+HHJ_2022_2023!H237+HHJ_2022_2023!H247</f>
        <v>0</v>
      </c>
      <c r="T235" s="21">
        <f>HHJ_2022_2023!J207+HHJ_2022_2023!J217+HHJ_2022_2023!J227+HHJ_2022_2023!J237+HHJ_2022_2023!J247</f>
        <v>0</v>
      </c>
      <c r="U235" s="21">
        <f>HHJ_2022_2023!L207+HHJ_2022_2023!L217+HHJ_2022_2023!L227+HHJ_2022_2023!L237+HHJ_2022_2023!L247</f>
        <v>0</v>
      </c>
      <c r="V235" s="14"/>
      <c r="Y235" s="6"/>
    </row>
    <row r="236" spans="1:25" hidden="1" outlineLevel="2" x14ac:dyDescent="0.3">
      <c r="A236" s="202" t="s">
        <v>427</v>
      </c>
      <c r="B236" s="154">
        <f>ROW(B231)</f>
        <v>231</v>
      </c>
      <c r="C236" s="1228">
        <v>6825</v>
      </c>
      <c r="D236" s="10">
        <v>1</v>
      </c>
      <c r="E236" s="10">
        <v>3</v>
      </c>
      <c r="F236" s="1223"/>
      <c r="G236" s="10" t="s">
        <v>41</v>
      </c>
      <c r="H236" s="10" t="s">
        <v>428</v>
      </c>
      <c r="I236" s="1212">
        <v>10000</v>
      </c>
      <c r="J236" s="1212">
        <v>0</v>
      </c>
      <c r="K236" s="21">
        <f>VLOOKUP(Tabelle1[[#This Row],[Titel]],[2]Haushalt!$A:$S,19,FALSE)</f>
        <v>0</v>
      </c>
      <c r="L236" s="1077">
        <v>50000</v>
      </c>
      <c r="M236" s="940">
        <f>VLOOKUP(Tabelle1[[#This Row],[Titel]],[3]Haushalt!$A$8:$W$282,8,FALSE)</f>
        <v>0</v>
      </c>
      <c r="N236" s="21">
        <v>24000</v>
      </c>
      <c r="O236" s="21">
        <v>0</v>
      </c>
      <c r="P236" s="750">
        <v>0</v>
      </c>
      <c r="Q236" s="21"/>
      <c r="R236" s="21"/>
      <c r="S236" s="21"/>
      <c r="T236" s="21"/>
      <c r="U236" s="21"/>
      <c r="V236" s="14"/>
      <c r="W236" t="s">
        <v>1396</v>
      </c>
      <c r="X236" s="6"/>
      <c r="Y236" s="6"/>
    </row>
    <row r="237" spans="1:25" outlineLevel="1" collapsed="1" x14ac:dyDescent="0.3">
      <c r="B237" s="151">
        <f>ROW(B231)</f>
        <v>231</v>
      </c>
      <c r="C237"/>
      <c r="D237"/>
      <c r="E237"/>
      <c r="M237" s="33"/>
      <c r="Q237" s="14"/>
      <c r="R237" s="14"/>
      <c r="S237" s="14"/>
      <c r="T237" s="14"/>
      <c r="U237" s="14"/>
      <c r="V237" s="14"/>
      <c r="Y237" s="6"/>
    </row>
    <row r="238" spans="1:25" outlineLevel="1" x14ac:dyDescent="0.3">
      <c r="A238" s="201" t="s">
        <v>429</v>
      </c>
      <c r="B238" s="153">
        <f>ROW(B232)</f>
        <v>232</v>
      </c>
      <c r="C238" s="9"/>
      <c r="D238" s="9"/>
      <c r="E238" s="9"/>
      <c r="F238" s="1227"/>
      <c r="G238" s="9"/>
      <c r="H238" s="9" t="s">
        <v>430</v>
      </c>
      <c r="I238" s="20">
        <f>SUBTOTAL(9,I239:I247)</f>
        <v>191400</v>
      </c>
      <c r="J238" s="20">
        <f>SUBTOTAL(9,J239:J247)</f>
        <v>3900</v>
      </c>
      <c r="K238" s="20">
        <f>VLOOKUP(Tabelle1[[#This Row],[Titel]],[2]Haushalt!$A:$S,19,FALSE)</f>
        <v>0</v>
      </c>
      <c r="L238" s="20">
        <f>SUBTOTAL(9,L239:L247)</f>
        <v>142650</v>
      </c>
      <c r="M238" s="752">
        <f>VLOOKUP(Tabelle1[[#This Row],[Titel]],[3]Haushalt!$A$8:$W$282,8,FALSE)</f>
        <v>0</v>
      </c>
      <c r="N238" s="20">
        <f>SUBTOTAL(9,N239:N247)</f>
        <v>142650</v>
      </c>
      <c r="O238" s="20">
        <f>SUBTOTAL(9,O239:O247)</f>
        <v>1700</v>
      </c>
      <c r="P238" s="20">
        <f>SUBTOTAL(9,P239:P247)</f>
        <v>39511.550000000003</v>
      </c>
      <c r="Q238" s="20"/>
      <c r="R238" s="20"/>
      <c r="S238" s="20">
        <f>SUBTOTAL(9,S239:S247)</f>
        <v>0</v>
      </c>
      <c r="T238" s="20">
        <f>SUBTOTAL(9,T239:T247)</f>
        <v>0</v>
      </c>
      <c r="U238" s="20">
        <f>SUBTOTAL(9,U239:U247)</f>
        <v>0</v>
      </c>
      <c r="V238" s="14"/>
      <c r="X238" s="6"/>
      <c r="Y238" s="6"/>
    </row>
    <row r="239" spans="1:25" hidden="1" outlineLevel="3" x14ac:dyDescent="0.3">
      <c r="A239" s="202" t="s">
        <v>431</v>
      </c>
      <c r="B239" s="154">
        <f>ROW(B233)</f>
        <v>233</v>
      </c>
      <c r="C239" s="10">
        <v>6004</v>
      </c>
      <c r="D239" s="10">
        <v>1</v>
      </c>
      <c r="E239" s="10" t="s">
        <v>1499</v>
      </c>
      <c r="F239" s="1223">
        <v>106004</v>
      </c>
      <c r="G239" s="10" t="s">
        <v>432</v>
      </c>
      <c r="H239" s="10" t="s">
        <v>433</v>
      </c>
      <c r="I239" s="1212">
        <v>3200</v>
      </c>
      <c r="J239" s="1212">
        <v>1600</v>
      </c>
      <c r="K239" s="21">
        <f>VLOOKUP(Tabelle1[[#This Row],[Titel]],[2]Haushalt!$A:$S,19,FALSE)</f>
        <v>0</v>
      </c>
      <c r="L239" s="1074">
        <v>5600</v>
      </c>
      <c r="M239" s="940">
        <f>VLOOKUP(Tabelle1[[#This Row],[Titel]],[3]Haushalt!$A$8:$W$282,8,FALSE)</f>
        <v>0</v>
      </c>
      <c r="N239" s="21">
        <v>5600</v>
      </c>
      <c r="O239" s="21">
        <v>800</v>
      </c>
      <c r="P239" s="751">
        <f>HHJ_2021_2022!R139</f>
        <v>800</v>
      </c>
      <c r="Q239" s="21"/>
      <c r="R239" s="21"/>
      <c r="S239" s="21">
        <f>HHJ_2022_2023!H139</f>
        <v>0</v>
      </c>
      <c r="T239" s="21">
        <f>HHJ_2022_2023!J139</f>
        <v>0</v>
      </c>
      <c r="U239" s="21">
        <f>HHJ_2022_2023!L139</f>
        <v>0</v>
      </c>
      <c r="V239" s="14"/>
      <c r="Y239" s="6"/>
    </row>
    <row r="240" spans="1:25" hidden="1" outlineLevel="3" x14ac:dyDescent="0.3">
      <c r="A240" s="202" t="s">
        <v>434</v>
      </c>
      <c r="B240" s="154">
        <f>ROW(B234)</f>
        <v>234</v>
      </c>
      <c r="C240" s="10">
        <v>6302</v>
      </c>
      <c r="D240" s="10">
        <v>1</v>
      </c>
      <c r="E240" s="10">
        <v>0</v>
      </c>
      <c r="F240" s="1223">
        <v>106302</v>
      </c>
      <c r="G240" s="10" t="s">
        <v>435</v>
      </c>
      <c r="H240" s="10" t="s">
        <v>436</v>
      </c>
      <c r="I240" s="1212">
        <v>5000</v>
      </c>
      <c r="J240" s="1212">
        <v>1000</v>
      </c>
      <c r="K240" s="21">
        <f>VLOOKUP(Tabelle1[[#This Row],[Titel]],[2]Haushalt!$A:$S,19,FALSE)</f>
        <v>0</v>
      </c>
      <c r="L240" s="1074">
        <v>3000</v>
      </c>
      <c r="M240" s="940">
        <f>VLOOKUP(Tabelle1[[#This Row],[Titel]],[3]Haushalt!$A$8:$W$282,8,FALSE)</f>
        <v>0</v>
      </c>
      <c r="N240" s="21">
        <v>3000</v>
      </c>
      <c r="O240" s="21">
        <v>500</v>
      </c>
      <c r="P240" s="751">
        <v>595</v>
      </c>
      <c r="Q240" s="21"/>
      <c r="R240" s="21"/>
      <c r="S240" s="21">
        <f>HHJ_2022_2023!H140</f>
        <v>0</v>
      </c>
      <c r="T240" s="21">
        <f>HHJ_2022_2023!J140</f>
        <v>0</v>
      </c>
      <c r="U240" s="21">
        <f>HHJ_2022_2023!L140</f>
        <v>0</v>
      </c>
      <c r="V240" s="14"/>
      <c r="X240" s="6"/>
      <c r="Y240" s="6"/>
    </row>
    <row r="241" spans="1:25" hidden="1" outlineLevel="3" x14ac:dyDescent="0.3">
      <c r="A241" s="202" t="s">
        <v>437</v>
      </c>
      <c r="B241" s="154">
        <f>ROW(B235)</f>
        <v>235</v>
      </c>
      <c r="C241" s="10"/>
      <c r="D241" s="10">
        <v>1</v>
      </c>
      <c r="E241" s="10">
        <v>0</v>
      </c>
      <c r="F241" s="1223"/>
      <c r="G241" s="10" t="s">
        <v>438</v>
      </c>
      <c r="H241" s="10" t="s">
        <v>439</v>
      </c>
      <c r="I241" s="1212">
        <v>5000</v>
      </c>
      <c r="J241" s="1212">
        <v>1000</v>
      </c>
      <c r="K241" s="21">
        <f>VLOOKUP(Tabelle1[[#This Row],[Titel]],[2]Haushalt!$A:$S,19,FALSE)</f>
        <v>0</v>
      </c>
      <c r="L241" s="1074">
        <v>2000</v>
      </c>
      <c r="M241" s="940">
        <f>VLOOKUP(Tabelle1[[#This Row],[Titel]],[3]Haushalt!$A$8:$W$282,8,FALSE)</f>
        <v>0</v>
      </c>
      <c r="N241" s="21">
        <v>2000</v>
      </c>
      <c r="O241" s="21">
        <v>300</v>
      </c>
      <c r="P241" s="751">
        <f>HHJ_2021_2022!R142</f>
        <v>504.35</v>
      </c>
      <c r="Q241" s="21"/>
      <c r="R241" s="21"/>
      <c r="S241" s="21">
        <f>HHJ_2022_2023!H142</f>
        <v>0</v>
      </c>
      <c r="T241" s="21">
        <f>HHJ_2022_2023!J142</f>
        <v>0</v>
      </c>
      <c r="U241" s="21">
        <f>HHJ_2022_2023!L142</f>
        <v>0</v>
      </c>
      <c r="V241" s="14"/>
      <c r="Y241" s="6"/>
    </row>
    <row r="242" spans="1:25" hidden="1" outlineLevel="3" x14ac:dyDescent="0.3">
      <c r="A242" s="202" t="s">
        <v>440</v>
      </c>
      <c r="B242" s="154">
        <f t="shared" si="19"/>
        <v>237</v>
      </c>
      <c r="C242" s="10"/>
      <c r="D242" s="10">
        <v>1</v>
      </c>
      <c r="E242" s="10">
        <v>0</v>
      </c>
      <c r="F242" s="1223"/>
      <c r="G242" s="10" t="s">
        <v>441</v>
      </c>
      <c r="H242" s="10" t="s">
        <v>442</v>
      </c>
      <c r="I242" s="1212">
        <v>3000</v>
      </c>
      <c r="J242" s="1212">
        <v>300</v>
      </c>
      <c r="K242" s="21">
        <f>VLOOKUP(Tabelle1[[#This Row],[Titel]],[2]Haushalt!$A:$S,19,FALSE)</f>
        <v>0</v>
      </c>
      <c r="L242" s="1074">
        <v>2000</v>
      </c>
      <c r="M242" s="940">
        <f>VLOOKUP(Tabelle1[[#This Row],[Titel]],[3]Haushalt!$A$8:$W$282,8,FALSE)</f>
        <v>0</v>
      </c>
      <c r="N242" s="21">
        <v>2000</v>
      </c>
      <c r="O242" s="21">
        <v>100</v>
      </c>
      <c r="P242" s="751">
        <v>8374.25</v>
      </c>
      <c r="Q242" s="21"/>
      <c r="R242" s="21"/>
      <c r="S242" s="21">
        <f>HHJ_2022_2023!H143</f>
        <v>0</v>
      </c>
      <c r="T242" s="21">
        <f>HHJ_2022_2023!J143</f>
        <v>0</v>
      </c>
      <c r="U242" s="21">
        <f>HHJ_2022_2023!L143</f>
        <v>0</v>
      </c>
      <c r="V242" s="14"/>
      <c r="X242" s="6"/>
      <c r="Y242" s="6"/>
    </row>
    <row r="243" spans="1:25" hidden="1" outlineLevel="3" x14ac:dyDescent="0.3">
      <c r="A243" s="202" t="s">
        <v>443</v>
      </c>
      <c r="B243" s="154">
        <f t="shared" si="19"/>
        <v>238</v>
      </c>
      <c r="C243" s="10"/>
      <c r="D243" s="10">
        <v>1</v>
      </c>
      <c r="E243" s="10">
        <v>0</v>
      </c>
      <c r="F243" s="1223"/>
      <c r="G243" s="10" t="s">
        <v>444</v>
      </c>
      <c r="H243" s="10" t="s">
        <v>445</v>
      </c>
      <c r="I243" s="1212">
        <v>40000</v>
      </c>
      <c r="J243" s="1212">
        <v>0</v>
      </c>
      <c r="K243" s="21">
        <f>VLOOKUP(Tabelle1[[#This Row],[Titel]],[2]Haushalt!$A:$S,19,FALSE)</f>
        <v>0</v>
      </c>
      <c r="L243" s="1074">
        <v>19900</v>
      </c>
      <c r="M243" s="940">
        <f>VLOOKUP(Tabelle1[[#This Row],[Titel]],[3]Haushalt!$A$8:$W$282,8,FALSE)</f>
        <v>0</v>
      </c>
      <c r="N243" s="21">
        <v>19900</v>
      </c>
      <c r="O243" s="21">
        <v>0</v>
      </c>
      <c r="P243" s="751">
        <v>0</v>
      </c>
      <c r="Q243" s="21"/>
      <c r="R243" s="21"/>
      <c r="S243" s="21">
        <f>HHJ_2022_2023!H148*0.995</f>
        <v>0</v>
      </c>
      <c r="T243" s="21">
        <f>HHJ_2022_2023!J148*0.995</f>
        <v>0</v>
      </c>
      <c r="U243" s="21">
        <f>HHJ_2022_2023!L148*0.995</f>
        <v>0</v>
      </c>
      <c r="V243" s="14"/>
      <c r="Y243" s="6"/>
    </row>
    <row r="244" spans="1:25" hidden="1" outlineLevel="3" x14ac:dyDescent="0.3">
      <c r="A244" s="202" t="s">
        <v>446</v>
      </c>
      <c r="B244" s="154">
        <f t="shared" si="19"/>
        <v>239</v>
      </c>
      <c r="C244" s="10"/>
      <c r="D244" s="10">
        <v>1</v>
      </c>
      <c r="E244" s="10">
        <v>0</v>
      </c>
      <c r="F244" s="1223"/>
      <c r="G244" s="10" t="s">
        <v>447</v>
      </c>
      <c r="H244" s="10" t="s">
        <v>448</v>
      </c>
      <c r="I244" s="1212">
        <v>60000</v>
      </c>
      <c r="J244" s="1212">
        <v>0</v>
      </c>
      <c r="K244" s="21">
        <f>VLOOKUP(Tabelle1[[#This Row],[Titel]],[2]Haushalt!$A:$S,19,FALSE)</f>
        <v>0</v>
      </c>
      <c r="L244" s="1074">
        <v>45000</v>
      </c>
      <c r="M244" s="940">
        <f>VLOOKUP(Tabelle1[[#This Row],[Titel]],[3]Haushalt!$A$8:$W$282,8,FALSE)</f>
        <v>0</v>
      </c>
      <c r="N244" s="21">
        <v>45000</v>
      </c>
      <c r="O244" s="21">
        <v>0</v>
      </c>
      <c r="P244" s="751">
        <f>HHJ_2021_2022!R146</f>
        <v>0</v>
      </c>
      <c r="Q244" s="21"/>
      <c r="R244" s="21"/>
      <c r="S244" s="21">
        <f>HHJ_2022_2023!H147</f>
        <v>0</v>
      </c>
      <c r="T244" s="21">
        <f>HHJ_2022_2023!J147</f>
        <v>0</v>
      </c>
      <c r="U244" s="21">
        <f>HHJ_2022_2023!L147</f>
        <v>0</v>
      </c>
      <c r="V244" s="14"/>
      <c r="X244" s="6"/>
      <c r="Y244" s="6"/>
    </row>
    <row r="245" spans="1:25" hidden="1" outlineLevel="3" x14ac:dyDescent="0.3">
      <c r="A245" s="202" t="s">
        <v>449</v>
      </c>
      <c r="B245" s="154">
        <f t="shared" si="19"/>
        <v>240</v>
      </c>
      <c r="C245" s="10"/>
      <c r="D245" s="10">
        <v>1</v>
      </c>
      <c r="E245" s="10">
        <v>0</v>
      </c>
      <c r="F245" s="1223"/>
      <c r="G245" s="10" t="s">
        <v>450</v>
      </c>
      <c r="H245" s="10" t="s">
        <v>451</v>
      </c>
      <c r="I245" s="1212">
        <v>75000</v>
      </c>
      <c r="J245" s="1212">
        <v>0</v>
      </c>
      <c r="K245" s="21">
        <f>VLOOKUP(Tabelle1[[#This Row],[Titel]],[2]Haushalt!$A:$S,19,FALSE)</f>
        <v>0</v>
      </c>
      <c r="L245" s="1074">
        <v>65000</v>
      </c>
      <c r="M245" s="940">
        <f>VLOOKUP(Tabelle1[[#This Row],[Titel]],[3]Haushalt!$A$8:$W$282,8,FALSE)</f>
        <v>0</v>
      </c>
      <c r="N245" s="21">
        <v>65000</v>
      </c>
      <c r="O245" s="21">
        <v>0</v>
      </c>
      <c r="P245" s="751">
        <f>HHJ_2021_2022!R147</f>
        <v>0</v>
      </c>
      <c r="Q245" s="21"/>
      <c r="R245" s="21"/>
      <c r="S245" s="21">
        <f>HHJ_2022_2023!H146</f>
        <v>0</v>
      </c>
      <c r="T245" s="21">
        <f>HHJ_2022_2023!J146</f>
        <v>0</v>
      </c>
      <c r="U245" s="21">
        <f>HHJ_2022_2023!L146</f>
        <v>0</v>
      </c>
      <c r="V245" s="14"/>
      <c r="Y245" s="6"/>
    </row>
    <row r="246" spans="1:25" hidden="1" outlineLevel="3" x14ac:dyDescent="0.3">
      <c r="A246" s="202" t="s">
        <v>452</v>
      </c>
      <c r="B246" s="154">
        <f t="shared" si="19"/>
        <v>241</v>
      </c>
      <c r="C246" s="10"/>
      <c r="D246" s="10">
        <v>1</v>
      </c>
      <c r="E246" s="10">
        <v>0</v>
      </c>
      <c r="F246" s="1223"/>
      <c r="G246" s="10" t="s">
        <v>453</v>
      </c>
      <c r="H246" s="10" t="s">
        <v>454</v>
      </c>
      <c r="I246" s="1212">
        <v>100</v>
      </c>
      <c r="J246" s="1212">
        <v>0</v>
      </c>
      <c r="K246" s="21">
        <f>VLOOKUP(Tabelle1[[#This Row],[Titel]],[2]Haushalt!$A:$S,19,FALSE)</f>
        <v>0</v>
      </c>
      <c r="L246" s="1074">
        <v>50</v>
      </c>
      <c r="M246" s="940">
        <f>VLOOKUP(Tabelle1[[#This Row],[Titel]],[3]Haushalt!$A$8:$W$282,8,FALSE)</f>
        <v>0</v>
      </c>
      <c r="N246" s="21">
        <v>50</v>
      </c>
      <c r="O246" s="21">
        <v>0</v>
      </c>
      <c r="P246" s="751">
        <v>19.95</v>
      </c>
      <c r="Q246" s="21"/>
      <c r="R246" s="21"/>
      <c r="S246" s="21">
        <f>HHJ_2022_2023!H149</f>
        <v>0</v>
      </c>
      <c r="T246" s="21">
        <f>HHJ_2022_2023!J149</f>
        <v>0</v>
      </c>
      <c r="U246" s="21">
        <f>HHJ_2022_2023!L149</f>
        <v>0</v>
      </c>
      <c r="V246" s="14"/>
      <c r="X246" s="6"/>
      <c r="Y246" s="6"/>
    </row>
    <row r="247" spans="1:25" hidden="1" outlineLevel="3" x14ac:dyDescent="0.3">
      <c r="A247" s="202" t="s">
        <v>455</v>
      </c>
      <c r="B247" s="154">
        <f t="shared" si="19"/>
        <v>242</v>
      </c>
      <c r="C247" s="10"/>
      <c r="D247" s="10">
        <v>1</v>
      </c>
      <c r="E247" s="10">
        <v>0</v>
      </c>
      <c r="F247" s="1223"/>
      <c r="G247" s="10" t="s">
        <v>456</v>
      </c>
      <c r="H247" s="10" t="s">
        <v>457</v>
      </c>
      <c r="I247" s="1212">
        <v>100</v>
      </c>
      <c r="J247" s="1212">
        <v>0</v>
      </c>
      <c r="K247" s="21">
        <f>VLOOKUP(Tabelle1[[#This Row],[Titel]],[2]Haushalt!$A:$S,19,FALSE)</f>
        <v>0</v>
      </c>
      <c r="L247" s="1074">
        <v>100</v>
      </c>
      <c r="M247" s="940">
        <f>VLOOKUP(Tabelle1[[#This Row],[Titel]],[3]Haushalt!$A$8:$W$282,8,FALSE)</f>
        <v>0</v>
      </c>
      <c r="N247" s="21">
        <v>100</v>
      </c>
      <c r="O247" s="21">
        <v>0</v>
      </c>
      <c r="P247" s="751">
        <v>29218</v>
      </c>
      <c r="Q247" s="21"/>
      <c r="R247" s="21"/>
      <c r="S247" s="21">
        <f>HHJ_2022_2023!H148*0.005</f>
        <v>0</v>
      </c>
      <c r="T247" s="21">
        <f>HHJ_2022_2023!J148*0.005</f>
        <v>0</v>
      </c>
      <c r="U247" s="21">
        <f>HHJ_2022_2023!L148*0.005</f>
        <v>0</v>
      </c>
      <c r="V247" s="14"/>
      <c r="Y247" s="6"/>
    </row>
    <row r="248" spans="1:25" outlineLevel="1" collapsed="1" x14ac:dyDescent="0.3">
      <c r="B248" s="151">
        <f t="shared" si="19"/>
        <v>243</v>
      </c>
      <c r="C248"/>
      <c r="D248"/>
      <c r="E248"/>
      <c r="M248" s="33"/>
      <c r="Q248" s="14"/>
      <c r="R248" s="14"/>
      <c r="S248" s="14"/>
      <c r="T248" s="14"/>
      <c r="U248" s="14"/>
      <c r="V248" s="14"/>
      <c r="X248" s="6"/>
      <c r="Y248" s="6"/>
    </row>
    <row r="249" spans="1:25" x14ac:dyDescent="0.3">
      <c r="B249" s="151">
        <f t="shared" si="19"/>
        <v>244</v>
      </c>
      <c r="C249"/>
      <c r="D249"/>
      <c r="E249"/>
      <c r="M249" s="33"/>
      <c r="Q249" s="14"/>
      <c r="R249" s="14"/>
      <c r="S249" s="14"/>
      <c r="T249" s="14"/>
      <c r="U249" s="14"/>
      <c r="V249" s="14"/>
      <c r="Y249" s="6"/>
    </row>
    <row r="250" spans="1:25" x14ac:dyDescent="0.3">
      <c r="A250" s="158" t="s">
        <v>458</v>
      </c>
      <c r="B250" s="152">
        <f t="shared" si="19"/>
        <v>245</v>
      </c>
      <c r="C250" s="8"/>
      <c r="D250" s="8"/>
      <c r="E250" s="8"/>
      <c r="F250" s="1226"/>
      <c r="G250" s="8"/>
      <c r="H250" s="8" t="s">
        <v>459</v>
      </c>
      <c r="I250" s="19">
        <f>SUBTOTAL(9,I252:I267)</f>
        <v>110300</v>
      </c>
      <c r="J250" s="19">
        <f>SUBTOTAL(9,J252:J267)</f>
        <v>218125</v>
      </c>
      <c r="K250" s="19">
        <f>VLOOKUP(Tabelle1[[#This Row],[Titel]],[2]Haushalt!$A:$S,19,FALSE)</f>
        <v>170054.77000000002</v>
      </c>
      <c r="L250" s="19">
        <f>SUBTOTAL(9,L252:L267)</f>
        <v>221750</v>
      </c>
      <c r="M250" s="942">
        <f>VLOOKUP(Tabelle1[[#This Row],[Titel]],[3]Haushalt!$A$8:$W$282,8,FALSE)</f>
        <v>145666.81</v>
      </c>
      <c r="N250" s="19">
        <f>SUBTOTAL(9,N252:N267)</f>
        <v>223575</v>
      </c>
      <c r="O250" s="19">
        <f>SUBTOTAL(9,O252:O267)</f>
        <v>222589.02</v>
      </c>
      <c r="P250" s="19">
        <f>SUBTOTAL(9,P252:P267)</f>
        <v>193828.68</v>
      </c>
      <c r="Q250" s="19"/>
      <c r="R250" s="19"/>
      <c r="S250" s="19">
        <f>SUBTOTAL(9,S252:S267)</f>
        <v>14474.73</v>
      </c>
      <c r="T250" s="19">
        <f>SUBTOTAL(9,T252:T267)</f>
        <v>26384.73</v>
      </c>
      <c r="U250" s="19">
        <f>SUBTOTAL(9,U252:U267)</f>
        <v>27195.97</v>
      </c>
      <c r="V250" s="14"/>
      <c r="X250" s="6"/>
      <c r="Y250" s="6"/>
    </row>
    <row r="251" spans="1:25" hidden="1" outlineLevel="1" x14ac:dyDescent="0.3">
      <c r="A251" s="201" t="s">
        <v>460</v>
      </c>
      <c r="B251" s="153">
        <f t="shared" si="19"/>
        <v>246</v>
      </c>
      <c r="C251" s="9"/>
      <c r="D251" s="9"/>
      <c r="E251" s="9"/>
      <c r="F251" s="1227"/>
      <c r="G251" s="9"/>
      <c r="H251" s="9" t="s">
        <v>461</v>
      </c>
      <c r="I251" s="20">
        <f>SUBTOTAL(9,I252:I259)</f>
        <v>26700</v>
      </c>
      <c r="J251" s="20">
        <f>SUBTOTAL(9,J252:J259)</f>
        <v>11050</v>
      </c>
      <c r="K251" s="20">
        <f>VLOOKUP(Tabelle1[[#This Row],[Titel]],[2]Haushalt!$A:$S,19,FALSE)</f>
        <v>3369.7700000000004</v>
      </c>
      <c r="L251" s="20">
        <f>SUBTOTAL(9,L252:L259)</f>
        <v>18150</v>
      </c>
      <c r="M251" s="752">
        <f>VLOOKUP(Tabelle1[[#This Row],[Titel]],[3]Haushalt!$A$8:$W$282,8,FALSE)</f>
        <v>18276.080000000002</v>
      </c>
      <c r="N251" s="20">
        <f>SUBTOTAL(9,N252:N259)</f>
        <v>95200</v>
      </c>
      <c r="O251" s="20">
        <f>SUBTOTAL(9,O252:O259)</f>
        <v>119300</v>
      </c>
      <c r="P251" s="20">
        <f>SUBTOTAL(9,P252:P259)</f>
        <v>90539.66</v>
      </c>
      <c r="Q251" s="20"/>
      <c r="R251" s="20"/>
      <c r="S251" s="20">
        <f>SUBTOTAL(9,S252:S259)</f>
        <v>6274.73</v>
      </c>
      <c r="T251" s="20">
        <f>SUBTOTAL(9,T252:T259)</f>
        <v>9984.73</v>
      </c>
      <c r="U251" s="20">
        <f>SUBTOTAL(9,U252:U259)</f>
        <v>10770.97</v>
      </c>
      <c r="V251" s="14"/>
      <c r="Y251" s="6"/>
    </row>
    <row r="252" spans="1:25" hidden="1" outlineLevel="2" x14ac:dyDescent="0.3">
      <c r="A252" s="202" t="s">
        <v>462</v>
      </c>
      <c r="B252" s="154">
        <f t="shared" ref="B252:B282" si="20">ROW(B247)</f>
        <v>247</v>
      </c>
      <c r="C252" s="10">
        <v>6391</v>
      </c>
      <c r="D252" s="10">
        <v>1</v>
      </c>
      <c r="E252" s="10" t="s">
        <v>1500</v>
      </c>
      <c r="F252" s="1223"/>
      <c r="G252" s="10" t="s">
        <v>41</v>
      </c>
      <c r="H252" s="10" t="s">
        <v>463</v>
      </c>
      <c r="I252" s="1212">
        <v>5000</v>
      </c>
      <c r="J252" s="1212">
        <v>500</v>
      </c>
      <c r="K252" s="21">
        <f>VLOOKUP(Tabelle1[[#This Row],[Titel]],[2]Haushalt!$A:$S,19,FALSE)</f>
        <v>0</v>
      </c>
      <c r="L252" s="21">
        <v>3000</v>
      </c>
      <c r="M252" s="940">
        <f>VLOOKUP(Tabelle1[[#This Row],[Titel]],[3]Haushalt!$A$8:$W$282,8,FALSE)</f>
        <v>0</v>
      </c>
      <c r="N252" s="21">
        <v>3000</v>
      </c>
      <c r="O252" s="21">
        <v>0</v>
      </c>
      <c r="P252" s="21">
        <v>0</v>
      </c>
      <c r="Q252" s="21"/>
      <c r="R252" s="21"/>
      <c r="S252" s="21"/>
      <c r="T252" s="21"/>
      <c r="U252" s="21"/>
      <c r="V252" s="14"/>
      <c r="X252" s="6"/>
      <c r="Y252" s="6"/>
    </row>
    <row r="253" spans="1:25" hidden="1" outlineLevel="2" x14ac:dyDescent="0.3">
      <c r="A253" s="202" t="s">
        <v>464</v>
      </c>
      <c r="B253" s="154">
        <f t="shared" si="20"/>
        <v>248</v>
      </c>
      <c r="C253" s="10">
        <v>6391</v>
      </c>
      <c r="D253" s="10">
        <v>1</v>
      </c>
      <c r="E253" s="10" t="s">
        <v>1501</v>
      </c>
      <c r="F253" s="1223"/>
      <c r="G253" s="10" t="s">
        <v>41</v>
      </c>
      <c r="H253" s="10" t="s">
        <v>465</v>
      </c>
      <c r="I253" s="1212">
        <v>8000</v>
      </c>
      <c r="J253" s="1212">
        <v>0</v>
      </c>
      <c r="K253" s="21">
        <f>VLOOKUP(Tabelle1[[#This Row],[Titel]],[2]Haushalt!$A:$S,19,FALSE)</f>
        <v>0</v>
      </c>
      <c r="L253" s="21">
        <v>8000</v>
      </c>
      <c r="M253" s="940">
        <f>VLOOKUP(Tabelle1[[#This Row],[Titel]],[3]Haushalt!$A$8:$W$282,8,FALSE)</f>
        <v>0</v>
      </c>
      <c r="N253" s="21">
        <v>8000</v>
      </c>
      <c r="O253" s="21">
        <v>0</v>
      </c>
      <c r="P253" s="21">
        <v>0</v>
      </c>
      <c r="Q253" s="21"/>
      <c r="R253" s="21"/>
      <c r="S253" s="21"/>
      <c r="T253" s="21"/>
      <c r="U253" s="21"/>
      <c r="V253" s="14"/>
      <c r="Y253" s="6"/>
    </row>
    <row r="254" spans="1:25" hidden="1" outlineLevel="2" x14ac:dyDescent="0.3">
      <c r="A254" s="202" t="s">
        <v>466</v>
      </c>
      <c r="B254" s="154">
        <f t="shared" si="20"/>
        <v>249</v>
      </c>
      <c r="C254" s="10"/>
      <c r="D254" s="10"/>
      <c r="E254" s="10"/>
      <c r="F254" s="1223"/>
      <c r="G254" s="10" t="s">
        <v>467</v>
      </c>
      <c r="H254" s="13" t="s">
        <v>468</v>
      </c>
      <c r="I254" s="1212">
        <v>0</v>
      </c>
      <c r="J254" s="1212">
        <v>-1650</v>
      </c>
      <c r="K254" s="21">
        <f>VLOOKUP(Tabelle1[[#This Row],[Titel]],[2]Haushalt!$A:$S,19,FALSE)</f>
        <v>-1650</v>
      </c>
      <c r="L254" s="1076">
        <v>0</v>
      </c>
      <c r="M254" s="944">
        <f>VLOOKUP(Tabelle1[[#This Row],[Titel]],[3]Haushalt!$A$8:$W$282,8,FALSE)</f>
        <v>5783.25</v>
      </c>
      <c r="N254" s="21">
        <f>Lerngruppen_ges.</f>
        <v>0</v>
      </c>
      <c r="O254" s="21">
        <v>60000</v>
      </c>
      <c r="P254" s="751">
        <v>44554.29</v>
      </c>
      <c r="Q254" s="21"/>
      <c r="R254" s="21"/>
      <c r="S254" s="21">
        <f>HHJ_2022_2023!H249</f>
        <v>3143.25</v>
      </c>
      <c r="T254" s="21">
        <f>HHJ_2022_2023!J249</f>
        <v>5783.25</v>
      </c>
      <c r="U254" s="21">
        <f>HHJ_2022_2023!L249</f>
        <v>5783.25</v>
      </c>
      <c r="V254" s="14"/>
      <c r="X254" s="6"/>
      <c r="Y254" s="6"/>
    </row>
    <row r="255" spans="1:25" hidden="1" outlineLevel="2" x14ac:dyDescent="0.3">
      <c r="A255" s="202" t="s">
        <v>469</v>
      </c>
      <c r="B255" s="154">
        <f t="shared" si="20"/>
        <v>250</v>
      </c>
      <c r="C255" s="10">
        <v>6391</v>
      </c>
      <c r="D255" s="10">
        <v>1</v>
      </c>
      <c r="E255" s="10">
        <v>3</v>
      </c>
      <c r="F255" s="1223"/>
      <c r="G255" s="10" t="s">
        <v>470</v>
      </c>
      <c r="H255" s="13" t="s">
        <v>471</v>
      </c>
      <c r="I255" s="1212">
        <v>1000</v>
      </c>
      <c r="J255" s="1212">
        <v>1000</v>
      </c>
      <c r="K255" s="21">
        <f>VLOOKUP(Tabelle1[[#This Row],[Titel]],[2]Haushalt!$A:$S,19,FALSE)</f>
        <v>0</v>
      </c>
      <c r="L255" s="1076">
        <v>0</v>
      </c>
      <c r="M255" s="944">
        <f>VLOOKUP(Tabelle1[[#This Row],[Titel]],[3]Haushalt!$A$8:$W$282,8,FALSE)</f>
        <v>10690</v>
      </c>
      <c r="N255" s="21">
        <v>76000</v>
      </c>
      <c r="O255" s="21">
        <v>50000</v>
      </c>
      <c r="P255" s="751">
        <v>45570</v>
      </c>
      <c r="Q255" s="21"/>
      <c r="R255" s="21"/>
      <c r="S255" s="21">
        <f>HHJ_2022_2023!H250</f>
        <v>2700</v>
      </c>
      <c r="T255" s="21">
        <f>HHJ_2022_2023!J250</f>
        <v>3770</v>
      </c>
      <c r="U255" s="21">
        <f>HHJ_2022_2023!L250</f>
        <v>4470</v>
      </c>
      <c r="V255" s="14"/>
      <c r="Y255" s="6"/>
    </row>
    <row r="256" spans="1:25" hidden="1" outlineLevel="2" x14ac:dyDescent="0.3">
      <c r="A256" s="202" t="s">
        <v>472</v>
      </c>
      <c r="B256" s="154">
        <f t="shared" si="20"/>
        <v>251</v>
      </c>
      <c r="C256" s="10">
        <v>6391</v>
      </c>
      <c r="D256" s="10">
        <v>1</v>
      </c>
      <c r="E256" s="10">
        <v>3</v>
      </c>
      <c r="F256" s="1223"/>
      <c r="G256" s="10" t="s">
        <v>473</v>
      </c>
      <c r="H256" s="13" t="s">
        <v>474</v>
      </c>
      <c r="I256" s="1212">
        <v>10000</v>
      </c>
      <c r="J256" s="1212">
        <v>10000</v>
      </c>
      <c r="K256" s="21">
        <f>VLOOKUP(Tabelle1[[#This Row],[Titel]],[2]Haushalt!$A:$S,19,FALSE)</f>
        <v>4869.7700000000004</v>
      </c>
      <c r="L256" s="21">
        <f>Campus_Bew.</f>
        <v>7000</v>
      </c>
      <c r="M256" s="944">
        <f>VLOOKUP(Tabelle1[[#This Row],[Titel]],[3]Haushalt!$A$8:$W$282,8,FALSE)</f>
        <v>1652.83</v>
      </c>
      <c r="N256" s="21">
        <f>Campus_Bew.</f>
        <v>7000</v>
      </c>
      <c r="O256" s="21">
        <v>8000</v>
      </c>
      <c r="P256" s="751">
        <v>265.37</v>
      </c>
      <c r="Q256" s="21"/>
      <c r="R256" s="21"/>
      <c r="S256" s="21">
        <f>HHJ_2022_2023!H251</f>
        <v>431.48</v>
      </c>
      <c r="T256" s="21">
        <f>HHJ_2022_2023!J251</f>
        <v>431.48</v>
      </c>
      <c r="U256" s="21">
        <f>HHJ_2022_2023!L251</f>
        <v>517.72</v>
      </c>
      <c r="V256" s="14"/>
      <c r="X256" s="6"/>
      <c r="Y256" s="6"/>
    </row>
    <row r="257" spans="1:25" hidden="1" outlineLevel="2" x14ac:dyDescent="0.3">
      <c r="A257" s="202" t="s">
        <v>475</v>
      </c>
      <c r="B257" s="154">
        <f t="shared" si="20"/>
        <v>252</v>
      </c>
      <c r="C257" s="10">
        <v>6391</v>
      </c>
      <c r="D257" s="10">
        <v>1</v>
      </c>
      <c r="E257" s="10">
        <v>3</v>
      </c>
      <c r="F257" s="1223"/>
      <c r="G257" s="10" t="s">
        <v>476</v>
      </c>
      <c r="H257" s="10" t="s">
        <v>477</v>
      </c>
      <c r="I257" s="1212">
        <v>2000</v>
      </c>
      <c r="J257" s="1212">
        <v>1200</v>
      </c>
      <c r="K257" s="21">
        <f>VLOOKUP(Tabelle1[[#This Row],[Titel]],[2]Haushalt!$A:$S,19,FALSE)</f>
        <v>150</v>
      </c>
      <c r="L257" s="21">
        <v>150</v>
      </c>
      <c r="M257" s="940">
        <f>VLOOKUP(Tabelle1[[#This Row],[Titel]],[3]Haushalt!$A$8:$W$282,8,FALSE)</f>
        <v>150</v>
      </c>
      <c r="N257" s="21">
        <v>500</v>
      </c>
      <c r="O257" s="21">
        <v>200</v>
      </c>
      <c r="P257" s="751">
        <v>150</v>
      </c>
      <c r="Q257" s="21"/>
      <c r="R257" s="21"/>
      <c r="S257" s="21">
        <f>HHJ_2022_2023!H185</f>
        <v>0</v>
      </c>
      <c r="T257" s="21">
        <f>HHJ_2022_2023!J185</f>
        <v>0</v>
      </c>
      <c r="U257" s="21">
        <f>HHJ_2022_2023!L185</f>
        <v>0</v>
      </c>
      <c r="V257" s="14"/>
      <c r="Y257" s="6"/>
    </row>
    <row r="258" spans="1:25" hidden="1" outlineLevel="2" x14ac:dyDescent="0.3">
      <c r="A258" s="202" t="s">
        <v>478</v>
      </c>
      <c r="B258" s="154">
        <f t="shared" si="20"/>
        <v>253</v>
      </c>
      <c r="C258" s="10">
        <v>6391</v>
      </c>
      <c r="D258" s="10">
        <v>1</v>
      </c>
      <c r="E258" s="10">
        <v>3</v>
      </c>
      <c r="F258" s="1223"/>
      <c r="G258" s="10" t="s">
        <v>479</v>
      </c>
      <c r="H258" s="10" t="s">
        <v>480</v>
      </c>
      <c r="I258" s="1212">
        <v>200</v>
      </c>
      <c r="J258" s="1212">
        <v>0</v>
      </c>
      <c r="K258" s="21">
        <f>VLOOKUP(Tabelle1[[#This Row],[Titel]],[2]Haushalt!$A:$S,19,FALSE)</f>
        <v>0</v>
      </c>
      <c r="L258" s="21">
        <v>0</v>
      </c>
      <c r="M258" s="940">
        <f>VLOOKUP(Tabelle1[[#This Row],[Titel]],[3]Haushalt!$A$8:$W$282,8,FALSE)</f>
        <v>0</v>
      </c>
      <c r="N258" s="21">
        <v>200</v>
      </c>
      <c r="O258" s="21">
        <v>200</v>
      </c>
      <c r="P258" s="751">
        <v>0</v>
      </c>
      <c r="Q258" s="21"/>
      <c r="R258" s="21"/>
      <c r="S258" s="21">
        <f>HHJ_2022_2023!H188</f>
        <v>0</v>
      </c>
      <c r="T258" s="21">
        <f>HHJ_2022_2023!J188</f>
        <v>0</v>
      </c>
      <c r="U258" s="21">
        <f>HHJ_2022_2023!L188</f>
        <v>0</v>
      </c>
      <c r="V258" s="14"/>
      <c r="X258" s="6"/>
      <c r="Y258" s="6"/>
    </row>
    <row r="259" spans="1:25" hidden="1" outlineLevel="2" x14ac:dyDescent="0.3">
      <c r="A259" s="202" t="s">
        <v>481</v>
      </c>
      <c r="B259" s="154">
        <f t="shared" si="20"/>
        <v>254</v>
      </c>
      <c r="C259" s="10">
        <v>6391</v>
      </c>
      <c r="D259" s="10">
        <v>1</v>
      </c>
      <c r="E259" s="10">
        <v>3</v>
      </c>
      <c r="F259" s="1223"/>
      <c r="G259" s="10" t="s">
        <v>1200</v>
      </c>
      <c r="H259" s="10" t="s">
        <v>31</v>
      </c>
      <c r="I259" s="1212">
        <v>500</v>
      </c>
      <c r="J259" s="1212">
        <v>0</v>
      </c>
      <c r="K259" s="21">
        <f>VLOOKUP(Tabelle1[[#This Row],[Titel]],[2]Haushalt!$A:$S,19,FALSE)</f>
        <v>0</v>
      </c>
      <c r="L259" s="21">
        <v>0</v>
      </c>
      <c r="M259" s="940">
        <f>VLOOKUP(Tabelle1[[#This Row],[Titel]],[3]Haushalt!$A$8:$W$282,8,FALSE)</f>
        <v>0</v>
      </c>
      <c r="N259" s="21">
        <v>500</v>
      </c>
      <c r="O259" s="21">
        <v>900</v>
      </c>
      <c r="P259" s="751">
        <v>0</v>
      </c>
      <c r="Q259" s="21"/>
      <c r="R259" s="21"/>
      <c r="S259" s="21">
        <f>HHJ_2022_2023!H194+HHJ_2022_2023!H197+HHJ_2022_2023!H252</f>
        <v>0</v>
      </c>
      <c r="T259" s="21">
        <f>HHJ_2022_2023!J194+HHJ_2022_2023!J197+HHJ_2022_2023!J252</f>
        <v>0</v>
      </c>
      <c r="U259" s="21">
        <f>HHJ_2022_2023!L194+HHJ_2022_2023!L197+HHJ_2022_2023!L252</f>
        <v>0</v>
      </c>
      <c r="V259" s="14"/>
      <c r="Y259" s="6"/>
    </row>
    <row r="260" spans="1:25" hidden="1" outlineLevel="1" collapsed="1" x14ac:dyDescent="0.3">
      <c r="B260" s="151">
        <f t="shared" si="20"/>
        <v>255</v>
      </c>
      <c r="C260"/>
      <c r="D260"/>
      <c r="E260"/>
      <c r="M260" s="33"/>
      <c r="Q260" s="14"/>
      <c r="R260" s="14"/>
      <c r="S260" s="14"/>
      <c r="T260" s="14"/>
      <c r="U260" s="14"/>
      <c r="V260" s="14"/>
      <c r="X260" s="6"/>
      <c r="Y260" s="6"/>
    </row>
    <row r="261" spans="1:25" hidden="1" outlineLevel="1" x14ac:dyDescent="0.3">
      <c r="A261" s="201" t="s">
        <v>483</v>
      </c>
      <c r="B261" s="153">
        <f t="shared" si="20"/>
        <v>256</v>
      </c>
      <c r="C261" s="9"/>
      <c r="D261" s="9"/>
      <c r="E261" s="9"/>
      <c r="F261" s="1227"/>
      <c r="G261" s="9"/>
      <c r="H261" s="9" t="s">
        <v>484</v>
      </c>
      <c r="I261" s="20">
        <f>SUBTOTAL(9,I262:I263)</f>
        <v>33600</v>
      </c>
      <c r="J261" s="20">
        <f>SUBTOTAL(9,J262:J263)</f>
        <v>7075</v>
      </c>
      <c r="K261" s="20">
        <f>VLOOKUP(Tabelle1[[#This Row],[Titel]],[2]Haushalt!$A:$S,19,FALSE)</f>
        <v>25</v>
      </c>
      <c r="L261" s="20">
        <f>SUBTOTAL(9,L262:L263)</f>
        <v>3600</v>
      </c>
      <c r="M261" s="752">
        <f>VLOOKUP(Tabelle1[[#This Row],[Titel]],[3]Haushalt!$A$8:$W$282,8,FALSE)</f>
        <v>2390.73</v>
      </c>
      <c r="N261" s="20">
        <f>SUBTOTAL(9,N262:N263)</f>
        <v>3375</v>
      </c>
      <c r="O261" s="20">
        <f>SUBTOTAL(9,O262:O263)</f>
        <v>3289.02</v>
      </c>
      <c r="P261" s="20">
        <f>SUBTOTAL(9,P262:P263)</f>
        <v>3289.02</v>
      </c>
      <c r="Q261" s="20"/>
      <c r="R261" s="20"/>
      <c r="S261" s="20">
        <f>SUBTOTAL(9,S262:S263)</f>
        <v>0</v>
      </c>
      <c r="T261" s="20">
        <f>SUBTOTAL(9,T262:T263)</f>
        <v>0</v>
      </c>
      <c r="U261" s="20">
        <f>SUBTOTAL(9,U262:U263)</f>
        <v>25</v>
      </c>
      <c r="V261" s="14"/>
      <c r="Y261" s="6"/>
    </row>
    <row r="262" spans="1:25" hidden="1" outlineLevel="2" x14ac:dyDescent="0.3">
      <c r="A262" s="202" t="s">
        <v>485</v>
      </c>
      <c r="B262" s="154">
        <f t="shared" si="20"/>
        <v>257</v>
      </c>
      <c r="C262" s="10"/>
      <c r="D262" s="10">
        <v>1</v>
      </c>
      <c r="E262" s="10">
        <v>3</v>
      </c>
      <c r="F262" s="1223"/>
      <c r="G262" s="10" t="s">
        <v>486</v>
      </c>
      <c r="H262" s="10" t="s">
        <v>1527</v>
      </c>
      <c r="I262" s="1212">
        <v>33500</v>
      </c>
      <c r="J262" s="1212">
        <v>7000</v>
      </c>
      <c r="K262" s="21">
        <f>VLOOKUP(Tabelle1[[#This Row],[Titel]],[2]Haushalt!$A:$S,19,FALSE)</f>
        <v>0</v>
      </c>
      <c r="L262" s="21">
        <v>3500</v>
      </c>
      <c r="M262" s="940">
        <f>VLOOKUP(Tabelle1[[#This Row],[Titel]],[3]Haushalt!$A$8:$W$282,8,FALSE)</f>
        <v>2365.73</v>
      </c>
      <c r="N262" s="21">
        <v>3300</v>
      </c>
      <c r="O262" s="21">
        <v>3264.02</v>
      </c>
      <c r="P262" s="751">
        <v>3264.02</v>
      </c>
      <c r="Q262" s="21"/>
      <c r="R262" s="21"/>
      <c r="S262" s="21">
        <f>HHJ_2022_2023!H189</f>
        <v>0</v>
      </c>
      <c r="T262" s="21">
        <f>HHJ_2022_2023!J189</f>
        <v>0</v>
      </c>
      <c r="U262" s="21">
        <f>HHJ_2022_2023!L189</f>
        <v>0</v>
      </c>
      <c r="V262" s="14"/>
      <c r="X262" s="6"/>
      <c r="Y262" s="6"/>
    </row>
    <row r="263" spans="1:25" hidden="1" outlineLevel="2" x14ac:dyDescent="0.3">
      <c r="A263" s="202" t="s">
        <v>487</v>
      </c>
      <c r="B263" s="154">
        <f t="shared" si="20"/>
        <v>258</v>
      </c>
      <c r="C263" s="10"/>
      <c r="D263" s="10">
        <v>1</v>
      </c>
      <c r="E263" s="10">
        <v>3</v>
      </c>
      <c r="F263" s="1223"/>
      <c r="G263" s="10" t="s">
        <v>488</v>
      </c>
      <c r="H263" s="10" t="s">
        <v>489</v>
      </c>
      <c r="I263" s="1212">
        <v>100</v>
      </c>
      <c r="J263" s="1212">
        <v>75</v>
      </c>
      <c r="K263" s="21">
        <f>VLOOKUP(Tabelle1[[#This Row],[Titel]],[2]Haushalt!$A:$S,19,FALSE)</f>
        <v>25</v>
      </c>
      <c r="L263" s="21">
        <v>100</v>
      </c>
      <c r="M263" s="940">
        <f>VLOOKUP(Tabelle1[[#This Row],[Titel]],[3]Haushalt!$A$8:$W$282,8,FALSE)</f>
        <v>25</v>
      </c>
      <c r="N263" s="21">
        <v>75</v>
      </c>
      <c r="O263" s="21">
        <v>25</v>
      </c>
      <c r="P263" s="751">
        <v>25</v>
      </c>
      <c r="Q263" s="21"/>
      <c r="R263" s="21"/>
      <c r="S263" s="21">
        <f>HHJ_2022_2023!H190</f>
        <v>0</v>
      </c>
      <c r="T263" s="21">
        <f>HHJ_2022_2023!J190</f>
        <v>0</v>
      </c>
      <c r="U263" s="21">
        <f>HHJ_2022_2023!L190</f>
        <v>25</v>
      </c>
      <c r="V263" s="14"/>
      <c r="Y263" s="6"/>
    </row>
    <row r="264" spans="1:25" hidden="1" outlineLevel="1" collapsed="1" x14ac:dyDescent="0.3">
      <c r="B264" s="151">
        <f t="shared" si="20"/>
        <v>259</v>
      </c>
      <c r="C264"/>
      <c r="D264"/>
      <c r="E264"/>
      <c r="M264" s="33"/>
      <c r="Q264" s="14"/>
      <c r="R264" s="14"/>
      <c r="S264" s="14"/>
      <c r="T264" s="14"/>
      <c r="U264" s="14"/>
      <c r="V264" s="14"/>
      <c r="X264" s="6"/>
      <c r="Y264" s="6"/>
    </row>
    <row r="265" spans="1:25" hidden="1" outlineLevel="1" x14ac:dyDescent="0.3">
      <c r="A265" s="201" t="s">
        <v>490</v>
      </c>
      <c r="B265" s="153">
        <f t="shared" si="20"/>
        <v>260</v>
      </c>
      <c r="C265" s="9"/>
      <c r="D265" s="9"/>
      <c r="E265" s="9"/>
      <c r="F265" s="1227"/>
      <c r="G265" s="9"/>
      <c r="H265" s="9" t="s">
        <v>491</v>
      </c>
      <c r="I265" s="20">
        <f>SUBTOTAL(9,I266:I267)</f>
        <v>50000</v>
      </c>
      <c r="J265" s="20">
        <f>SUBTOTAL(9,J266:J267)</f>
        <v>200000</v>
      </c>
      <c r="K265" s="20">
        <f>VLOOKUP(Tabelle1[[#This Row],[Titel]],[2]Haushalt!$A:$S,19,FALSE)</f>
        <v>166660</v>
      </c>
      <c r="L265" s="20">
        <f>SUBTOTAL(9,L266:L267)</f>
        <v>200000</v>
      </c>
      <c r="M265" s="752">
        <f>VLOOKUP(Tabelle1[[#This Row],[Titel]],[3]Haushalt!$A$8:$W$282,8,FALSE)</f>
        <v>125000</v>
      </c>
      <c r="N265" s="20">
        <f>SUBTOTAL(9,N266:N267)</f>
        <v>125000</v>
      </c>
      <c r="O265" s="20">
        <f>SUBTOTAL(9,O266:O267)</f>
        <v>100000</v>
      </c>
      <c r="P265" s="20">
        <f>SUBTOTAL(9,P266:P267)</f>
        <v>100000</v>
      </c>
      <c r="Q265" s="20"/>
      <c r="R265" s="20"/>
      <c r="S265" s="20">
        <f>SUBTOTAL(9,S266:S267)</f>
        <v>8200</v>
      </c>
      <c r="T265" s="20">
        <f>SUBTOTAL(9,T266:T267)</f>
        <v>16400</v>
      </c>
      <c r="U265" s="20">
        <f>SUBTOTAL(9,U266:U267)</f>
        <v>16400</v>
      </c>
      <c r="V265" s="14"/>
      <c r="Y265" s="6"/>
    </row>
    <row r="266" spans="1:25" hidden="1" outlineLevel="1" x14ac:dyDescent="0.3">
      <c r="A266" s="202" t="s">
        <v>485</v>
      </c>
      <c r="B266" s="154">
        <f t="shared" si="20"/>
        <v>261</v>
      </c>
      <c r="C266" s="10"/>
      <c r="D266" s="10">
        <v>4</v>
      </c>
      <c r="E266" s="10" t="s">
        <v>1503</v>
      </c>
      <c r="F266" s="1223"/>
      <c r="G266" s="10" t="s">
        <v>1220</v>
      </c>
      <c r="H266" s="10" t="s">
        <v>492</v>
      </c>
      <c r="I266" s="1212">
        <v>50000</v>
      </c>
      <c r="J266" s="1212">
        <v>45000</v>
      </c>
      <c r="K266" s="21">
        <f>VLOOKUP(Tabelle1[[#This Row],[Titel]],[2]Haushalt!$A:$S,19,FALSE)</f>
        <v>0</v>
      </c>
      <c r="L266" s="21">
        <f>'Anschaffungsplan+BHS'!H33</f>
        <v>45000</v>
      </c>
      <c r="M266" s="940">
        <f>VLOOKUP(Tabelle1[[#This Row],[Titel]],[3]Haushalt!$A$8:$W$282,8,FALSE)</f>
        <v>2365.73</v>
      </c>
      <c r="N266" s="21">
        <v>46492.17</v>
      </c>
      <c r="O266" s="21">
        <v>68430.649999999994</v>
      </c>
      <c r="P266" s="751">
        <v>100000</v>
      </c>
      <c r="Q266" s="21"/>
      <c r="R266" s="21"/>
      <c r="S266" s="21">
        <f>HHJ_2022_2023!H253*0.685</f>
        <v>5617</v>
      </c>
      <c r="T266" s="21">
        <f>HHJ_2022_2023!J253*0.685</f>
        <v>11234</v>
      </c>
      <c r="U266" s="21">
        <f>HHJ_2022_2023!L253*0.685</f>
        <v>11234</v>
      </c>
      <c r="V266" s="14"/>
      <c r="X266" s="6"/>
      <c r="Y266" s="6"/>
    </row>
    <row r="267" spans="1:25" hidden="1" outlineLevel="1" x14ac:dyDescent="0.3">
      <c r="A267" s="202" t="s">
        <v>487</v>
      </c>
      <c r="B267" s="154">
        <f t="shared" si="20"/>
        <v>262</v>
      </c>
      <c r="C267" s="10"/>
      <c r="D267" s="10">
        <v>4</v>
      </c>
      <c r="E267" s="10" t="s">
        <v>1503</v>
      </c>
      <c r="F267" s="1223"/>
      <c r="G267" s="10" t="s">
        <v>1221</v>
      </c>
      <c r="H267" s="13" t="s">
        <v>493</v>
      </c>
      <c r="I267" s="1212">
        <v>0</v>
      </c>
      <c r="J267" s="1212">
        <v>155000</v>
      </c>
      <c r="K267" s="21">
        <f>VLOOKUP(Tabelle1[[#This Row],[Titel]],[2]Haushalt!$A:$S,19,FALSE)</f>
        <v>25</v>
      </c>
      <c r="L267" s="1076">
        <f>'Anschaffungsplan+BHS'!H34</f>
        <v>155000</v>
      </c>
      <c r="M267" s="944">
        <f>VLOOKUP(Tabelle1[[#This Row],[Titel]],[3]Haushalt!$A$8:$W$282,8,FALSE)</f>
        <v>25</v>
      </c>
      <c r="N267" s="21">
        <f>Tabelle211123957[[#Totals],[Betrag]]</f>
        <v>78507.83</v>
      </c>
      <c r="O267" s="21">
        <v>31569.35</v>
      </c>
      <c r="P267" s="751">
        <v>0</v>
      </c>
      <c r="Q267" s="21"/>
      <c r="R267" s="21"/>
      <c r="S267" s="21">
        <f>HHJ_2022_2023!H253*0.315</f>
        <v>2583</v>
      </c>
      <c r="T267" s="21">
        <f>HHJ_2022_2023!J253*0.315</f>
        <v>5166</v>
      </c>
      <c r="U267" s="21">
        <f>HHJ_2022_2023!L253*0.315</f>
        <v>5166</v>
      </c>
      <c r="V267" s="14"/>
      <c r="Y267" s="6"/>
    </row>
    <row r="268" spans="1:25" collapsed="1" x14ac:dyDescent="0.3">
      <c r="B268" s="151">
        <f t="shared" si="20"/>
        <v>263</v>
      </c>
      <c r="C268"/>
      <c r="D268"/>
      <c r="E268"/>
      <c r="M268" s="33"/>
      <c r="Q268" s="14"/>
      <c r="R268" s="14"/>
      <c r="S268" s="14"/>
      <c r="T268" s="14"/>
      <c r="U268" s="14"/>
      <c r="V268" s="14"/>
      <c r="X268" s="6"/>
      <c r="Y268" s="6"/>
    </row>
    <row r="269" spans="1:25" x14ac:dyDescent="0.3">
      <c r="A269" s="158" t="s">
        <v>494</v>
      </c>
      <c r="B269" s="152">
        <f t="shared" si="20"/>
        <v>264</v>
      </c>
      <c r="C269" s="8"/>
      <c r="D269" s="8"/>
      <c r="E269" s="8"/>
      <c r="F269" s="1226"/>
      <c r="G269" s="8"/>
      <c r="H269" s="8" t="s">
        <v>495</v>
      </c>
      <c r="I269" s="19">
        <f>SUBTOTAL(9,I271:I272)</f>
        <v>11500</v>
      </c>
      <c r="J269" s="19">
        <f>SUBTOTAL(9,J271:J272)</f>
        <v>5000</v>
      </c>
      <c r="K269" s="19">
        <f>VLOOKUP(Tabelle1[[#This Row],[Titel]],[2]Haushalt!$A:$S,19,FALSE)</f>
        <v>1000</v>
      </c>
      <c r="L269" s="19">
        <f>SUBTOTAL(9,L271:L272)</f>
        <v>6000</v>
      </c>
      <c r="M269" s="942">
        <f>VLOOKUP(Tabelle1[[#This Row],[Titel]],[3]Haushalt!$A$8:$W$282,8,FALSE)</f>
        <v>2500</v>
      </c>
      <c r="N269" s="19">
        <f>SUBTOTAL(9,N271:N272)</f>
        <v>16500</v>
      </c>
      <c r="O269" s="19">
        <f>SUBTOTAL(9,O271:O272)</f>
        <v>11500</v>
      </c>
      <c r="P269" s="19">
        <f>SUBTOTAL(9,P271:P272)</f>
        <v>950</v>
      </c>
      <c r="Q269" s="19"/>
      <c r="R269" s="19"/>
      <c r="S269" s="19">
        <f>SUBTOTAL(9,S271:S272)</f>
        <v>500</v>
      </c>
      <c r="T269" s="19">
        <f>SUBTOTAL(9,T271:T272)</f>
        <v>500</v>
      </c>
      <c r="U269" s="19">
        <f>SUBTOTAL(9,U271:U272)</f>
        <v>500</v>
      </c>
      <c r="V269" s="14"/>
      <c r="Y269" s="6"/>
    </row>
    <row r="270" spans="1:25" hidden="1" outlineLevel="1" x14ac:dyDescent="0.3">
      <c r="A270" s="201" t="s">
        <v>496</v>
      </c>
      <c r="B270" s="153">
        <f t="shared" si="20"/>
        <v>265</v>
      </c>
      <c r="C270" s="9"/>
      <c r="D270" s="9"/>
      <c r="E270" s="9"/>
      <c r="F270" s="1227"/>
      <c r="G270" s="9"/>
      <c r="H270" s="9" t="s">
        <v>497</v>
      </c>
      <c r="I270" s="20">
        <f>SUBTOTAL(9,I271:I273)</f>
        <v>11500</v>
      </c>
      <c r="J270" s="20">
        <f>SUBTOTAL(9,J271:J273)</f>
        <v>5000</v>
      </c>
      <c r="K270" s="20">
        <f>VLOOKUP(Tabelle1[[#This Row],[Titel]],[2]Haushalt!$A:$S,19,FALSE)</f>
        <v>1000</v>
      </c>
      <c r="L270" s="20">
        <f>SUBTOTAL(9,L271:L273)</f>
        <v>6000</v>
      </c>
      <c r="M270" s="752">
        <f>VLOOKUP(Tabelle1[[#This Row],[Titel]],[3]Haushalt!$A$8:$W$282,8,FALSE)</f>
        <v>2500</v>
      </c>
      <c r="N270" s="20">
        <f>SUBTOTAL(9,N271:N273)</f>
        <v>16500</v>
      </c>
      <c r="O270" s="20">
        <f>SUBTOTAL(9,O271:O273)</f>
        <v>11500</v>
      </c>
      <c r="P270" s="20">
        <f>SUBTOTAL(9,P271:P273)</f>
        <v>950</v>
      </c>
      <c r="Q270" s="20"/>
      <c r="R270" s="20"/>
      <c r="S270" s="20">
        <f>SUBTOTAL(9,S271:S273)</f>
        <v>500</v>
      </c>
      <c r="T270" s="20">
        <f>SUBTOTAL(9,T271:T273)</f>
        <v>500</v>
      </c>
      <c r="U270" s="20">
        <f>SUBTOTAL(9,U271:U273)</f>
        <v>500</v>
      </c>
      <c r="V270" s="14"/>
      <c r="X270" s="6"/>
      <c r="Y270" s="6"/>
    </row>
    <row r="271" spans="1:25" hidden="1" outlineLevel="2" x14ac:dyDescent="0.3">
      <c r="A271" s="202" t="s">
        <v>498</v>
      </c>
      <c r="B271" s="154">
        <f t="shared" si="20"/>
        <v>266</v>
      </c>
      <c r="C271" s="10"/>
      <c r="D271" s="10"/>
      <c r="E271" s="10"/>
      <c r="F271" s="1223"/>
      <c r="G271" s="10" t="s">
        <v>496</v>
      </c>
      <c r="H271" s="10" t="s">
        <v>499</v>
      </c>
      <c r="I271" s="1212">
        <v>10000</v>
      </c>
      <c r="J271" s="1212">
        <v>5000</v>
      </c>
      <c r="K271" s="21">
        <f>VLOOKUP(Tabelle1[[#This Row],[Titel]],[2]Haushalt!$A:$S,19,FALSE)</f>
        <v>1000</v>
      </c>
      <c r="L271" s="21">
        <v>5000</v>
      </c>
      <c r="M271" s="940">
        <f>VLOOKUP(Tabelle1[[#This Row],[Titel]],[3]Haushalt!$A$8:$W$282,8,FALSE)</f>
        <v>2500</v>
      </c>
      <c r="N271" s="21">
        <v>15000</v>
      </c>
      <c r="O271" s="21">
        <v>10000</v>
      </c>
      <c r="P271" s="751">
        <v>950</v>
      </c>
      <c r="Q271" s="21"/>
      <c r="R271" s="21"/>
      <c r="S271" s="21">
        <f>HHJ_2022_2023!H255</f>
        <v>500</v>
      </c>
      <c r="T271" s="21">
        <f>HHJ_2022_2023!J255</f>
        <v>500</v>
      </c>
      <c r="U271" s="21">
        <f>HHJ_2022_2023!L255</f>
        <v>500</v>
      </c>
      <c r="V271" s="14"/>
      <c r="Y271" s="6"/>
    </row>
    <row r="272" spans="1:25" hidden="1" outlineLevel="2" x14ac:dyDescent="0.3">
      <c r="A272" s="202" t="s">
        <v>500</v>
      </c>
      <c r="B272" s="154">
        <f t="shared" si="20"/>
        <v>267</v>
      </c>
      <c r="C272" s="10"/>
      <c r="D272" s="10"/>
      <c r="E272" s="10"/>
      <c r="F272" s="1223"/>
      <c r="G272" s="10" t="s">
        <v>501</v>
      </c>
      <c r="H272" s="10" t="s">
        <v>502</v>
      </c>
      <c r="I272" s="1212">
        <v>1500</v>
      </c>
      <c r="J272" s="1212">
        <v>0</v>
      </c>
      <c r="K272" s="21">
        <f>VLOOKUP(Tabelle1[[#This Row],[Titel]],[2]Haushalt!$A:$S,19,FALSE)</f>
        <v>0</v>
      </c>
      <c r="L272" s="21">
        <v>1000</v>
      </c>
      <c r="M272" s="940">
        <f>VLOOKUP(Tabelle1[[#This Row],[Titel]],[3]Haushalt!$A$8:$W$282,8,FALSE)</f>
        <v>0</v>
      </c>
      <c r="N272" s="21">
        <v>1500</v>
      </c>
      <c r="O272" s="21">
        <v>1500</v>
      </c>
      <c r="P272" s="751">
        <v>0</v>
      </c>
      <c r="Q272" s="21"/>
      <c r="R272" s="21"/>
      <c r="S272" s="21">
        <f>HHJ_2022_2023!H256</f>
        <v>0</v>
      </c>
      <c r="T272" s="21">
        <f>HHJ_2022_2023!J256</f>
        <v>0</v>
      </c>
      <c r="U272" s="21">
        <f>HHJ_2022_2023!L256</f>
        <v>0</v>
      </c>
      <c r="V272" s="14"/>
      <c r="X272" s="6"/>
      <c r="Y272" s="6"/>
    </row>
    <row r="273" spans="1:25" collapsed="1" x14ac:dyDescent="0.3">
      <c r="B273" s="151">
        <f t="shared" si="20"/>
        <v>268</v>
      </c>
      <c r="C273"/>
      <c r="D273"/>
      <c r="E273"/>
      <c r="M273" s="33"/>
      <c r="Q273" s="14"/>
      <c r="R273" s="14"/>
      <c r="S273" s="14"/>
      <c r="T273" s="14"/>
      <c r="U273" s="14"/>
      <c r="V273" s="14"/>
      <c r="Y273" s="6"/>
    </row>
    <row r="274" spans="1:25" x14ac:dyDescent="0.3">
      <c r="A274" s="158" t="s">
        <v>503</v>
      </c>
      <c r="B274" s="152">
        <f t="shared" si="20"/>
        <v>269</v>
      </c>
      <c r="C274" s="8"/>
      <c r="D274" s="8"/>
      <c r="E274" s="8"/>
      <c r="F274" s="1226"/>
      <c r="G274" s="8"/>
      <c r="H274" s="8" t="s">
        <v>504</v>
      </c>
      <c r="I274" s="19">
        <f>SUBTOTAL(9,I276:I278)</f>
        <v>50000</v>
      </c>
      <c r="J274" s="19">
        <f>SUBTOTAL(9,J276:J278)</f>
        <v>140000</v>
      </c>
      <c r="K274" s="19">
        <f>VLOOKUP(Tabelle1[[#This Row],[Titel]],[2]Haushalt!$A:$S,19,FALSE)</f>
        <v>0</v>
      </c>
      <c r="L274" s="19">
        <f>SUBTOTAL(9,L276:L278)</f>
        <v>4611.32</v>
      </c>
      <c r="M274" s="942">
        <f>VLOOKUP(Tabelle1[[#This Row],[Titel]],[3]Haushalt!$A$8:$W$282,8,FALSE)</f>
        <v>0</v>
      </c>
      <c r="N274" s="19">
        <f>SUBTOTAL(9,N276:N278)</f>
        <v>0</v>
      </c>
      <c r="O274" s="19">
        <f>SUBTOTAL(9,O276:O278)</f>
        <v>60000</v>
      </c>
      <c r="P274" s="19">
        <f>SUBTOTAL(9,P276:P278)</f>
        <v>60000</v>
      </c>
      <c r="Q274" s="19"/>
      <c r="R274" s="19"/>
      <c r="S274" s="19">
        <f>SUBTOTAL(9,S276:S278)</f>
        <v>0</v>
      </c>
      <c r="T274" s="19">
        <f>SUBTOTAL(9,T276:T278)</f>
        <v>0</v>
      </c>
      <c r="U274" s="19">
        <f>SUBTOTAL(9,U276:U278)</f>
        <v>0</v>
      </c>
      <c r="V274" s="14"/>
      <c r="X274" s="6"/>
      <c r="Y274" s="6"/>
    </row>
    <row r="275" spans="1:25" outlineLevel="1" x14ac:dyDescent="0.3">
      <c r="A275" s="201" t="s">
        <v>505</v>
      </c>
      <c r="B275" s="153">
        <f t="shared" si="20"/>
        <v>270</v>
      </c>
      <c r="C275" s="9"/>
      <c r="D275" s="9"/>
      <c r="E275" s="9"/>
      <c r="F275" s="1227"/>
      <c r="G275" s="9"/>
      <c r="H275" s="9" t="s">
        <v>506</v>
      </c>
      <c r="I275" s="20">
        <f>SUBTOTAL(9,I276,I277,I278)</f>
        <v>50000</v>
      </c>
      <c r="J275" s="20">
        <f>SUBTOTAL(9,J276,J277,J278)</f>
        <v>140000</v>
      </c>
      <c r="K275" s="20">
        <f>VLOOKUP(Tabelle1[[#This Row],[Titel]],[2]Haushalt!$A:$S,19,FALSE)</f>
        <v>0</v>
      </c>
      <c r="L275" s="20">
        <f>SUBTOTAL(9,L276,L277,L278)</f>
        <v>4611.32</v>
      </c>
      <c r="M275" s="752">
        <f>VLOOKUP(Tabelle1[[#This Row],[Titel]],[3]Haushalt!$A$8:$W$282,8,FALSE)</f>
        <v>0</v>
      </c>
      <c r="N275" s="20">
        <f>SUBTOTAL(9,N276,N277,N278)</f>
        <v>0</v>
      </c>
      <c r="O275" s="20">
        <f>SUBTOTAL(9,O276,O277,O278)</f>
        <v>60000</v>
      </c>
      <c r="P275" s="20">
        <f>SUBTOTAL(9,P276,P277,P278)</f>
        <v>60000</v>
      </c>
      <c r="Q275" s="20"/>
      <c r="R275" s="20"/>
      <c r="S275" s="20">
        <f>SUBTOTAL(9,S276,S277,S278)</f>
        <v>0</v>
      </c>
      <c r="T275" s="20">
        <f>SUBTOTAL(9,T276,T277,T278)</f>
        <v>0</v>
      </c>
      <c r="U275" s="20">
        <f>SUBTOTAL(9,U276,U277,U278)</f>
        <v>0</v>
      </c>
      <c r="V275" s="14"/>
      <c r="Y275" s="6"/>
    </row>
    <row r="276" spans="1:25" outlineLevel="1" x14ac:dyDescent="0.3">
      <c r="A276" s="202" t="s">
        <v>507</v>
      </c>
      <c r="B276" s="154">
        <f t="shared" si="20"/>
        <v>271</v>
      </c>
      <c r="C276" s="10"/>
      <c r="D276" s="10"/>
      <c r="E276" s="10"/>
      <c r="F276" s="1223"/>
      <c r="G276" s="10" t="s">
        <v>508</v>
      </c>
      <c r="H276" s="10" t="s">
        <v>100</v>
      </c>
      <c r="I276" s="1212">
        <v>0</v>
      </c>
      <c r="J276" s="1212">
        <v>0</v>
      </c>
      <c r="K276" s="21">
        <f>VLOOKUP(Tabelle1[[#This Row],[Titel]],[2]Haushalt!$A:$S,19,FALSE)</f>
        <v>0</v>
      </c>
      <c r="L276" s="21">
        <v>0</v>
      </c>
      <c r="M276" s="940">
        <f>VLOOKUP(Tabelle1[[#This Row],[Titel]],[3]Haushalt!$A$8:$W$282,8,FALSE)</f>
        <v>0</v>
      </c>
      <c r="N276" s="21">
        <v>0</v>
      </c>
      <c r="O276" s="21">
        <v>0</v>
      </c>
      <c r="P276" s="751">
        <v>0</v>
      </c>
      <c r="Q276" s="21"/>
      <c r="R276" s="21"/>
      <c r="S276" s="21">
        <f>HHJ_2022_2023!H258</f>
        <v>0</v>
      </c>
      <c r="T276" s="21">
        <f>HHJ_2022_2023!J258</f>
        <v>0</v>
      </c>
      <c r="U276" s="21">
        <f>HHJ_2022_2023!L258</f>
        <v>0</v>
      </c>
      <c r="V276" s="14"/>
      <c r="X276" s="6"/>
      <c r="Y276" s="6"/>
    </row>
    <row r="277" spans="1:25" outlineLevel="1" x14ac:dyDescent="0.3">
      <c r="A277" s="202" t="s">
        <v>509</v>
      </c>
      <c r="B277" s="154">
        <f t="shared" si="20"/>
        <v>272</v>
      </c>
      <c r="C277" s="10"/>
      <c r="D277" s="10"/>
      <c r="E277" s="10"/>
      <c r="F277" s="1223"/>
      <c r="G277" s="10" t="s">
        <v>510</v>
      </c>
      <c r="H277" s="10" t="s">
        <v>105</v>
      </c>
      <c r="I277" s="21">
        <v>0</v>
      </c>
      <c r="J277" s="21">
        <v>140000</v>
      </c>
      <c r="K277" s="21">
        <f>VLOOKUP(Tabelle1[[#This Row],[Titel]],[2]Haushalt!$A:$S,19,FALSE)</f>
        <v>0</v>
      </c>
      <c r="L277" s="21">
        <v>4611.32</v>
      </c>
      <c r="M277" s="940">
        <f>VLOOKUP(Tabelle1[[#This Row],[Titel]],[3]Haushalt!$A$8:$W$282,8,FALSE)</f>
        <v>0</v>
      </c>
      <c r="N277" s="21">
        <v>0</v>
      </c>
      <c r="O277" s="21">
        <v>60000</v>
      </c>
      <c r="P277" s="751">
        <v>60000</v>
      </c>
      <c r="Q277" s="21"/>
      <c r="R277" s="21"/>
      <c r="S277" s="21">
        <f>HHJ_2022_2023!H259</f>
        <v>0</v>
      </c>
      <c r="T277" s="21">
        <f>HHJ_2022_2023!J259</f>
        <v>0</v>
      </c>
      <c r="U277" s="21">
        <f>HHJ_2022_2023!L259</f>
        <v>0</v>
      </c>
      <c r="V277" s="14"/>
      <c r="Y277" s="6"/>
    </row>
    <row r="278" spans="1:25" outlineLevel="1" x14ac:dyDescent="0.3">
      <c r="A278" s="202" t="s">
        <v>511</v>
      </c>
      <c r="B278" s="154">
        <f t="shared" si="20"/>
        <v>273</v>
      </c>
      <c r="C278" s="10"/>
      <c r="D278" s="10"/>
      <c r="E278" s="10"/>
      <c r="F278" s="1223"/>
      <c r="G278" s="10" t="s">
        <v>512</v>
      </c>
      <c r="H278" s="10" t="s">
        <v>1582</v>
      </c>
      <c r="I278" s="21">
        <v>50000</v>
      </c>
      <c r="J278" s="21">
        <v>0</v>
      </c>
      <c r="K278" s="21">
        <f>VLOOKUP(Tabelle1[[#This Row],[Titel]],[2]Haushalt!$A:$S,19,FALSE)</f>
        <v>0</v>
      </c>
      <c r="L278" s="21">
        <v>0</v>
      </c>
      <c r="M278" s="940">
        <f>VLOOKUP(Tabelle1[[#This Row],[Titel]],[3]Haushalt!$A$8:$W$282,8,FALSE)</f>
        <v>0</v>
      </c>
      <c r="N278" s="21">
        <v>0</v>
      </c>
      <c r="O278" s="21">
        <v>0</v>
      </c>
      <c r="P278" s="751">
        <v>0</v>
      </c>
      <c r="Q278" s="21"/>
      <c r="R278" s="21"/>
      <c r="S278" s="21">
        <f>HHJ_2022_2023!H260</f>
        <v>0</v>
      </c>
      <c r="T278" s="21">
        <f>HHJ_2022_2023!J260</f>
        <v>0</v>
      </c>
      <c r="U278" s="21">
        <f>HHJ_2022_2023!L260</f>
        <v>0</v>
      </c>
      <c r="V278" s="14"/>
      <c r="X278" s="6"/>
      <c r="Y278" s="6"/>
    </row>
    <row r="279" spans="1:25" x14ac:dyDescent="0.3">
      <c r="B279" s="151">
        <f t="shared" si="20"/>
        <v>274</v>
      </c>
      <c r="M279" s="33"/>
      <c r="Q279" s="14"/>
      <c r="R279" s="14"/>
      <c r="S279" s="14"/>
      <c r="T279" s="14"/>
      <c r="U279" s="14"/>
      <c r="V279" s="14"/>
      <c r="Y279" s="6"/>
    </row>
    <row r="280" spans="1:25" ht="16.5" customHeight="1" x14ac:dyDescent="0.3">
      <c r="B280" s="151">
        <f t="shared" si="20"/>
        <v>275</v>
      </c>
      <c r="H280" s="158" t="s">
        <v>513</v>
      </c>
      <c r="I280" s="163">
        <f t="shared" ref="I280:P280" si="21">SUM(I78,I116,I250,I269,I274)</f>
        <v>1591600</v>
      </c>
      <c r="J280" s="163">
        <f t="shared" si="21"/>
        <v>1142738.58</v>
      </c>
      <c r="K280" s="163">
        <f t="shared" si="21"/>
        <v>685458.59000000008</v>
      </c>
      <c r="L280" s="163">
        <f t="shared" si="21"/>
        <v>1582227.32</v>
      </c>
      <c r="M280" s="163">
        <f t="shared" si="21"/>
        <v>744412.76</v>
      </c>
      <c r="N280" s="163">
        <f t="shared" si="21"/>
        <v>1568977.28</v>
      </c>
      <c r="O280" s="163">
        <f t="shared" si="21"/>
        <v>1479644.02</v>
      </c>
      <c r="P280" s="163">
        <f t="shared" si="21"/>
        <v>1215421.75</v>
      </c>
      <c r="Q280" s="164"/>
      <c r="R280" s="164"/>
      <c r="S280" s="163">
        <f>SUM(S78,S116,S250,S269,S274)</f>
        <v>51319.03</v>
      </c>
      <c r="T280" s="163">
        <f>SUM(T78,T116,T250,T269,T274)</f>
        <v>115481.03</v>
      </c>
      <c r="U280" s="163">
        <f>SUM(U78,U116,U250,U269,U274)</f>
        <v>147043.78</v>
      </c>
      <c r="V280" s="14"/>
      <c r="X280" s="6"/>
      <c r="Y280" s="6"/>
    </row>
    <row r="281" spans="1:25" ht="14.25" customHeight="1" x14ac:dyDescent="0.3">
      <c r="B281" s="151">
        <f t="shared" si="20"/>
        <v>276</v>
      </c>
      <c r="H281" s="159" t="s">
        <v>118</v>
      </c>
      <c r="I281" s="161">
        <f t="shared" ref="I281:P281" si="22">SUBTOTAL(9,I6,I36,I60)</f>
        <v>1591600</v>
      </c>
      <c r="J281" s="161">
        <f t="shared" si="22"/>
        <v>1837652.25</v>
      </c>
      <c r="K281" s="161">
        <f t="shared" si="22"/>
        <v>1786963.7399999998</v>
      </c>
      <c r="L281" s="161">
        <f t="shared" si="22"/>
        <v>1582227.3199999998</v>
      </c>
      <c r="M281" s="161">
        <f t="shared" si="22"/>
        <v>1433893.53</v>
      </c>
      <c r="N281" s="161">
        <f t="shared" si="22"/>
        <v>1568977.28</v>
      </c>
      <c r="O281" s="161">
        <f t="shared" si="22"/>
        <v>1480000</v>
      </c>
      <c r="P281" s="161">
        <f t="shared" si="22"/>
        <v>1500919.53</v>
      </c>
      <c r="Q281" s="162"/>
      <c r="R281" s="162"/>
      <c r="S281" s="161">
        <f>S74</f>
        <v>542448.23</v>
      </c>
      <c r="T281" s="161">
        <f>T74</f>
        <v>744264.9</v>
      </c>
      <c r="U281" s="161">
        <f>U74</f>
        <v>777607.6100000001</v>
      </c>
      <c r="V281" s="14"/>
      <c r="Y281" s="6"/>
    </row>
    <row r="282" spans="1:25" ht="15.6" x14ac:dyDescent="0.3">
      <c r="B282" s="151">
        <f t="shared" si="20"/>
        <v>277</v>
      </c>
      <c r="H282" s="160" t="s">
        <v>1580</v>
      </c>
      <c r="I282" s="165">
        <f t="shared" ref="I282:P282" si="23">I281-I280</f>
        <v>0</v>
      </c>
      <c r="J282" s="165">
        <f t="shared" si="23"/>
        <v>694913.66999999993</v>
      </c>
      <c r="K282" s="165">
        <f t="shared" si="23"/>
        <v>1101505.1499999997</v>
      </c>
      <c r="L282" s="165">
        <f t="shared" si="23"/>
        <v>0</v>
      </c>
      <c r="M282" s="165">
        <f t="shared" si="23"/>
        <v>689480.77</v>
      </c>
      <c r="N282" s="165">
        <f t="shared" si="23"/>
        <v>0</v>
      </c>
      <c r="O282" s="165">
        <f t="shared" si="23"/>
        <v>355.97999999998137</v>
      </c>
      <c r="P282" s="165">
        <f t="shared" si="23"/>
        <v>285497.78000000003</v>
      </c>
      <c r="Q282" s="166"/>
      <c r="R282" s="166"/>
      <c r="S282" s="165">
        <f>S281-S280</f>
        <v>491129.19999999995</v>
      </c>
      <c r="T282" s="165">
        <f>T281-T280</f>
        <v>628783.87</v>
      </c>
      <c r="U282" s="165">
        <f>U281-U280</f>
        <v>630563.83000000007</v>
      </c>
      <c r="V282" s="14"/>
      <c r="X282" s="6"/>
      <c r="Y282" s="6"/>
    </row>
    <row r="284" spans="1:25" x14ac:dyDescent="0.3">
      <c r="O284" s="14">
        <v>1479844.02</v>
      </c>
    </row>
    <row r="285" spans="1:25" x14ac:dyDescent="0.3">
      <c r="O285" s="250">
        <f>O280-O284</f>
        <v>-200</v>
      </c>
    </row>
    <row r="287" spans="1:25" x14ac:dyDescent="0.3">
      <c r="H287" s="277"/>
      <c r="I287" s="277"/>
      <c r="J287" s="277"/>
      <c r="K287" s="1216"/>
      <c r="L287" s="277"/>
      <c r="M287" s="277"/>
    </row>
    <row r="288" spans="1:25" x14ac:dyDescent="0.3">
      <c r="H288" s="277" t="s">
        <v>514</v>
      </c>
      <c r="I288" s="277"/>
      <c r="J288" s="277"/>
      <c r="K288" s="1216"/>
      <c r="L288" s="277"/>
      <c r="M288" s="277"/>
      <c r="O288" s="941" t="s">
        <v>515</v>
      </c>
      <c r="P288" s="941" t="s">
        <v>1298</v>
      </c>
    </row>
    <row r="289" spans="8:21" x14ac:dyDescent="0.3">
      <c r="H289" s="278" t="s">
        <v>516</v>
      </c>
      <c r="I289" s="1217">
        <f>I302</f>
        <v>420000</v>
      </c>
      <c r="J289" s="1217">
        <f>J302</f>
        <v>1014913.6699999999</v>
      </c>
      <c r="K289" s="1217">
        <f>K302</f>
        <v>1281505.1499999997</v>
      </c>
      <c r="L289" s="278"/>
      <c r="M289" s="278"/>
      <c r="O289" s="14">
        <v>180155.98</v>
      </c>
      <c r="P289" s="14">
        <v>465497.78</v>
      </c>
      <c r="S289" s="14">
        <v>671129.2</v>
      </c>
      <c r="T289" s="14">
        <v>808783.87</v>
      </c>
      <c r="U289" s="14">
        <v>810563.83</v>
      </c>
    </row>
    <row r="290" spans="8:21" x14ac:dyDescent="0.3">
      <c r="H290" s="278" t="s">
        <v>517</v>
      </c>
      <c r="I290" s="1217">
        <v>0</v>
      </c>
      <c r="J290" s="1217">
        <v>0</v>
      </c>
      <c r="K290" s="1217">
        <v>0</v>
      </c>
      <c r="L290" s="278"/>
      <c r="M290" s="278"/>
      <c r="O290" s="14">
        <v>0</v>
      </c>
      <c r="P290" s="14">
        <v>0</v>
      </c>
      <c r="S290" s="14">
        <v>0</v>
      </c>
      <c r="T290" s="14">
        <v>0</v>
      </c>
      <c r="U290" s="14">
        <v>0</v>
      </c>
    </row>
    <row r="291" spans="8:21" x14ac:dyDescent="0.3">
      <c r="H291" s="278" t="s">
        <v>518</v>
      </c>
      <c r="I291" s="1217">
        <v>0</v>
      </c>
      <c r="J291" s="1217">
        <v>0</v>
      </c>
      <c r="K291" s="1217">
        <v>0</v>
      </c>
      <c r="L291" s="278"/>
      <c r="M291" s="278"/>
      <c r="O291" s="14">
        <v>0</v>
      </c>
      <c r="P291" s="14">
        <v>0</v>
      </c>
      <c r="S291" s="14">
        <v>0</v>
      </c>
      <c r="T291" s="14">
        <v>0</v>
      </c>
      <c r="U291" s="14">
        <v>0</v>
      </c>
    </row>
    <row r="292" spans="8:21" x14ac:dyDescent="0.3">
      <c r="H292" s="277"/>
      <c r="I292" s="1216"/>
      <c r="J292" s="1216"/>
      <c r="K292" s="1216"/>
      <c r="L292" s="277"/>
      <c r="M292" s="277"/>
      <c r="S292" s="14"/>
      <c r="T292" s="14"/>
      <c r="U292" s="14"/>
    </row>
    <row r="293" spans="8:21" x14ac:dyDescent="0.3">
      <c r="H293" s="277" t="s">
        <v>519</v>
      </c>
      <c r="I293" s="1216">
        <f>SUM(I289:I292)</f>
        <v>420000</v>
      </c>
      <c r="J293" s="1216">
        <f>SUM(J289:J292)</f>
        <v>1014913.6699999999</v>
      </c>
      <c r="K293" s="1216">
        <f>SUM(K289:K292)</f>
        <v>1281505.1499999997</v>
      </c>
      <c r="L293" s="277"/>
      <c r="M293" s="277"/>
      <c r="O293" s="14">
        <f>SUM(O289:O292)</f>
        <v>180155.98</v>
      </c>
      <c r="P293" s="14">
        <f>SUM(P289:P292)</f>
        <v>465497.78</v>
      </c>
      <c r="S293" s="14">
        <f>SUM(S289:S292)</f>
        <v>671129.2</v>
      </c>
      <c r="T293" s="14">
        <f>SUM(T289:T292)</f>
        <v>808783.87</v>
      </c>
      <c r="U293" s="14">
        <f>SUM(U289:U292)</f>
        <v>810563.83</v>
      </c>
    </row>
    <row r="294" spans="8:21" x14ac:dyDescent="0.3">
      <c r="H294" s="277"/>
      <c r="I294" s="1216"/>
      <c r="J294" s="1216"/>
      <c r="K294" s="1216"/>
      <c r="L294" s="277"/>
      <c r="M294" s="277"/>
      <c r="S294" s="14"/>
      <c r="T294" s="14"/>
      <c r="U294" s="14"/>
    </row>
    <row r="295" spans="8:21" x14ac:dyDescent="0.3">
      <c r="H295" s="277" t="s">
        <v>520</v>
      </c>
      <c r="I295" s="1216"/>
      <c r="J295" s="1216"/>
      <c r="K295" s="1216"/>
      <c r="L295" s="277"/>
      <c r="M295" s="277"/>
      <c r="S295" s="14"/>
      <c r="T295" s="14"/>
      <c r="U295" s="14"/>
    </row>
    <row r="296" spans="8:21" x14ac:dyDescent="0.3">
      <c r="H296" s="277"/>
      <c r="I296" s="1216"/>
      <c r="J296" s="1216"/>
      <c r="K296" s="1216"/>
      <c r="L296" s="277"/>
      <c r="M296" s="277"/>
      <c r="S296" s="14"/>
      <c r="T296" s="14"/>
      <c r="U296" s="14"/>
    </row>
    <row r="297" spans="8:21" x14ac:dyDescent="0.3">
      <c r="H297" s="279" t="s">
        <v>521</v>
      </c>
      <c r="I297" s="1218">
        <f>I282</f>
        <v>0</v>
      </c>
      <c r="J297" s="1218">
        <f>J282</f>
        <v>694913.66999999993</v>
      </c>
      <c r="K297" s="1218">
        <f>K282</f>
        <v>1101505.1499999997</v>
      </c>
      <c r="L297" s="279"/>
      <c r="M297" s="279"/>
      <c r="N297" s="14">
        <v>80000</v>
      </c>
      <c r="O297" s="14">
        <v>155.97999999999999</v>
      </c>
      <c r="P297" s="14">
        <f>P282</f>
        <v>285497.78000000003</v>
      </c>
      <c r="S297" s="14">
        <f>S282</f>
        <v>491129.19999999995</v>
      </c>
      <c r="T297" s="14">
        <f>T282</f>
        <v>628783.87</v>
      </c>
      <c r="U297" s="14">
        <f>U282</f>
        <v>630563.83000000007</v>
      </c>
    </row>
    <row r="298" spans="8:21" x14ac:dyDescent="0.3">
      <c r="H298" s="278" t="s">
        <v>504</v>
      </c>
      <c r="I298" s="1217">
        <v>120000</v>
      </c>
      <c r="J298" s="1217">
        <v>120000</v>
      </c>
      <c r="K298" s="1217">
        <v>120000</v>
      </c>
      <c r="L298" s="278"/>
      <c r="M298" s="278"/>
      <c r="N298" s="14">
        <v>115000</v>
      </c>
      <c r="O298" s="14">
        <v>115000</v>
      </c>
      <c r="P298" s="14">
        <v>115000</v>
      </c>
      <c r="S298" s="14">
        <v>115000</v>
      </c>
      <c r="T298" s="14">
        <v>115000</v>
      </c>
      <c r="U298" s="14">
        <v>115000</v>
      </c>
    </row>
    <row r="299" spans="8:21" x14ac:dyDescent="0.3">
      <c r="H299" s="278" t="s">
        <v>522</v>
      </c>
      <c r="I299" s="1217">
        <v>0</v>
      </c>
      <c r="J299" s="1217">
        <v>0</v>
      </c>
      <c r="K299" s="1217">
        <v>0</v>
      </c>
      <c r="L299" s="278"/>
      <c r="M299" s="278"/>
      <c r="N299" s="14">
        <v>5000</v>
      </c>
      <c r="O299" s="14">
        <v>5000</v>
      </c>
      <c r="P299" s="14">
        <v>5000</v>
      </c>
      <c r="S299" s="14">
        <v>5000</v>
      </c>
      <c r="T299" s="14">
        <v>5000</v>
      </c>
      <c r="U299" s="14">
        <v>5000</v>
      </c>
    </row>
    <row r="300" spans="8:21" x14ac:dyDescent="0.3">
      <c r="H300" s="278" t="s">
        <v>523</v>
      </c>
      <c r="I300" s="1217">
        <v>100000</v>
      </c>
      <c r="J300" s="1217">
        <v>0</v>
      </c>
      <c r="K300" s="1217">
        <v>0</v>
      </c>
      <c r="L300" s="278"/>
      <c r="M300" s="278"/>
      <c r="N300" s="14">
        <v>0</v>
      </c>
      <c r="O300" s="14">
        <v>0</v>
      </c>
      <c r="P300" s="14">
        <v>60000</v>
      </c>
      <c r="S300" s="14">
        <v>60000</v>
      </c>
      <c r="T300" s="14">
        <v>60000</v>
      </c>
      <c r="U300" s="14">
        <v>60000</v>
      </c>
    </row>
    <row r="301" spans="8:21" x14ac:dyDescent="0.3">
      <c r="H301" s="278" t="s">
        <v>105</v>
      </c>
      <c r="I301" s="1217">
        <v>200000</v>
      </c>
      <c r="J301" s="1217">
        <v>200000</v>
      </c>
      <c r="K301" s="1217">
        <v>60000</v>
      </c>
      <c r="L301" s="278"/>
      <c r="M301" s="278"/>
      <c r="O301" s="14">
        <v>60000</v>
      </c>
      <c r="P301" s="14">
        <v>0</v>
      </c>
      <c r="S301" s="14">
        <v>0</v>
      </c>
      <c r="T301" s="14">
        <v>0</v>
      </c>
      <c r="U301" s="14">
        <v>0</v>
      </c>
    </row>
    <row r="302" spans="8:21" x14ac:dyDescent="0.3">
      <c r="H302" s="277" t="s">
        <v>524</v>
      </c>
      <c r="I302" s="1216">
        <f>SUM(I297:I301)</f>
        <v>420000</v>
      </c>
      <c r="J302" s="1216">
        <f>SUM(J297:J301)</f>
        <v>1014913.6699999999</v>
      </c>
      <c r="K302" s="1216">
        <f>SUM(K297:K301)</f>
        <v>1281505.1499999997</v>
      </c>
      <c r="L302" s="277"/>
      <c r="M302" s="277"/>
      <c r="O302" s="14">
        <f>SUM(O297:O301)</f>
        <v>180155.97999999998</v>
      </c>
      <c r="P302" s="14">
        <f>SUM(P297:P301)</f>
        <v>465497.78</v>
      </c>
      <c r="S302" s="14">
        <f>SUM(S297:S301)</f>
        <v>671129.2</v>
      </c>
      <c r="T302" s="14">
        <f>SUM(T297:T301)</f>
        <v>808783.87</v>
      </c>
      <c r="U302" s="14">
        <f>SUM(U297:U301)</f>
        <v>810563.83000000007</v>
      </c>
    </row>
    <row r="303" spans="8:21" x14ac:dyDescent="0.3">
      <c r="H303" s="278"/>
      <c r="I303" s="278"/>
      <c r="J303" s="278"/>
      <c r="K303" s="1217"/>
      <c r="L303" s="278"/>
      <c r="M303" s="278"/>
    </row>
    <row r="304" spans="8:21" x14ac:dyDescent="0.3">
      <c r="H304" s="277" t="s">
        <v>525</v>
      </c>
      <c r="I304" s="277"/>
      <c r="J304" s="277"/>
      <c r="K304" s="1216"/>
      <c r="L304" s="277"/>
      <c r="M304" s="277"/>
    </row>
    <row r="305" spans="8:15" x14ac:dyDescent="0.3">
      <c r="H305" s="277"/>
      <c r="I305" s="277"/>
      <c r="J305" s="277"/>
      <c r="K305" s="1216"/>
      <c r="L305" s="277"/>
      <c r="M305" s="277"/>
    </row>
    <row r="306" spans="8:15" x14ac:dyDescent="0.3">
      <c r="H306" s="278" t="s">
        <v>514</v>
      </c>
      <c r="I306" s="278"/>
      <c r="J306" s="278"/>
      <c r="K306" s="1217"/>
      <c r="L306" s="278"/>
      <c r="M306" s="278"/>
      <c r="O306" s="14">
        <v>180155.98</v>
      </c>
    </row>
    <row r="307" spans="8:15" ht="28.8" x14ac:dyDescent="0.3">
      <c r="H307" s="280" t="s">
        <v>526</v>
      </c>
      <c r="I307" s="280"/>
      <c r="J307" s="280"/>
      <c r="K307" s="1219"/>
      <c r="L307" s="280"/>
      <c r="M307" s="280"/>
      <c r="O307" s="14">
        <f>1120000*0.05</f>
        <v>56000</v>
      </c>
    </row>
    <row r="308" spans="8:15" x14ac:dyDescent="0.3">
      <c r="H308" s="278" t="s">
        <v>527</v>
      </c>
      <c r="I308" s="278"/>
      <c r="J308" s="278"/>
      <c r="K308" s="1217"/>
      <c r="L308" s="278"/>
      <c r="M308" s="278"/>
      <c r="O308" s="14">
        <f>O306-O307</f>
        <v>124155.98000000001</v>
      </c>
    </row>
    <row r="309" spans="8:15" ht="43.2" x14ac:dyDescent="0.3">
      <c r="H309" s="281" t="s">
        <v>528</v>
      </c>
      <c r="I309" s="281"/>
      <c r="J309" s="281"/>
      <c r="K309" s="1220"/>
      <c r="L309" s="281"/>
      <c r="M309" s="281"/>
      <c r="O309" s="14">
        <f>1120000*0.18</f>
        <v>201600</v>
      </c>
    </row>
    <row r="310" spans="8:15" x14ac:dyDescent="0.3">
      <c r="H310" s="278" t="s">
        <v>529</v>
      </c>
      <c r="I310" s="278"/>
      <c r="J310" s="278"/>
      <c r="K310" s="1217"/>
      <c r="L310" s="278"/>
      <c r="M310" s="278"/>
      <c r="O310" s="14">
        <f>O308-O309</f>
        <v>-77444.01999999999</v>
      </c>
    </row>
    <row r="311" spans="8:15" x14ac:dyDescent="0.3">
      <c r="H311" s="282"/>
      <c r="I311" s="282"/>
      <c r="J311" s="282"/>
      <c r="K311" s="1221"/>
      <c r="L311" s="282"/>
      <c r="M311" s="282"/>
    </row>
    <row r="313" spans="8:15" x14ac:dyDescent="0.3">
      <c r="H313" s="6" t="s">
        <v>1554</v>
      </c>
    </row>
    <row r="314" spans="8:15" x14ac:dyDescent="0.3">
      <c r="H314" t="s">
        <v>1555</v>
      </c>
    </row>
    <row r="315" spans="8:15" x14ac:dyDescent="0.3">
      <c r="H315" t="s">
        <v>1556</v>
      </c>
    </row>
    <row r="316" spans="8:15" x14ac:dyDescent="0.3">
      <c r="H316" t="s">
        <v>1557</v>
      </c>
    </row>
  </sheetData>
  <phoneticPr fontId="79" type="noConversion"/>
  <hyperlinks>
    <hyperlink ref="H175" location="Referatspläne!B2" display="Honorare Dozierende Fachseminare" xr:uid="{00000000-0004-0000-0000-000000000000}"/>
    <hyperlink ref="H178" location="Referatspläne!G2" display="Bewirtung und Repräsentation" xr:uid="{00000000-0004-0000-0000-000001000000}"/>
    <hyperlink ref="H177" location="Referatspläne!E2" display="Externe Reisekosten" xr:uid="{00000000-0004-0000-0000-000002000000}"/>
    <hyperlink ref="H179" location="Referatspläne!I2" display="Raum und Unterkunftskosten" xr:uid="{00000000-0004-0000-0000-000003000000}"/>
    <hyperlink ref="H103" location="Stellenplan!D22" display="Gehälter Beschäftigte" xr:uid="{00000000-0004-0000-0000-000004000000}"/>
    <hyperlink ref="H104" location="Stellenplan!D23" display="Steuern" xr:uid="{00000000-0004-0000-0000-000005000000}"/>
    <hyperlink ref="H105" location="Stellenplan!D24" display="AG-Anteil Sozialversicherung" xr:uid="{00000000-0004-0000-0000-000006000000}"/>
    <hyperlink ref="H106" location="Stellenplan!D25" display="Betriebsrenten" xr:uid="{00000000-0004-0000-0000-000007000000}"/>
    <hyperlink ref="H128" location="Neu_Allg." display="Neuanschaffungen allgemein" xr:uid="{00000000-0004-0000-0000-000008000000}"/>
    <hyperlink ref="H129" location="Neu_EDV_Tel." display="Neuanschaffungen EDV und Telekommunikation" xr:uid="{00000000-0004-0000-0000-000009000000}"/>
    <hyperlink ref="H130" location="Renov_Inst." display="Renovierungen und Instandhaltung" xr:uid="{00000000-0004-0000-0000-00000A000000}"/>
    <hyperlink ref="H97" location="Stellenplan!B6" display="Referate" xr:uid="{00000000-0004-0000-0000-00000B000000}"/>
    <hyperlink ref="H98" location="Stellenplan!C6" display="Bundesknappschaft" xr:uid="{00000000-0004-0000-0000-00000C000000}"/>
    <hyperlink ref="H149" location="WiWi!E13" display="WiWi" xr:uid="{00000000-0004-0000-0000-00000D000000}"/>
    <hyperlink ref="H150" location="KSW!E13" display="KSW" xr:uid="{00000000-0004-0000-0000-00000E000000}"/>
    <hyperlink ref="H151" location="PSY!E13" display="PSY" xr:uid="{00000000-0004-0000-0000-00000F000000}"/>
    <hyperlink ref="H152" location="ReWi!E13" display="ReWi" xr:uid="{00000000-0004-0000-0000-000010000000}"/>
    <hyperlink ref="H153" location="M_I!E13" display="M+I" xr:uid="{00000000-0004-0000-0000-000011000000}"/>
    <hyperlink ref="H38" location="WiWi!E5" display="FSR WiWi" xr:uid="{00000000-0004-0000-0000-000012000000}"/>
    <hyperlink ref="H39" location="KSW!E5" display="FSR KSW" xr:uid="{00000000-0004-0000-0000-000013000000}"/>
    <hyperlink ref="H40" location="PSY!E5" display="FSR PSY" xr:uid="{00000000-0004-0000-0000-000014000000}"/>
    <hyperlink ref="H41" location="ReWi!E5" display="FSR ReWi" xr:uid="{00000000-0004-0000-0000-000015000000}"/>
    <hyperlink ref="H42" location="M_I!E5" display="FSR M+I" xr:uid="{00000000-0004-0000-0000-000016000000}"/>
    <hyperlink ref="H45" location="WiWi!E6" display="FSR WiWi" xr:uid="{00000000-0004-0000-0000-000017000000}"/>
    <hyperlink ref="H46" location="KSW!E6" display="FSR KSW" xr:uid="{00000000-0004-0000-0000-000018000000}"/>
    <hyperlink ref="H47" location="PSY!E6" display="FSR PSY" xr:uid="{00000000-0004-0000-0000-000019000000}"/>
    <hyperlink ref="H48" location="ReWi!E6" display="FSR ReWi" xr:uid="{00000000-0004-0000-0000-00001A000000}"/>
    <hyperlink ref="H49" location="M_I!E6" display="FSR M+I" xr:uid="{00000000-0004-0000-0000-00001B000000}"/>
    <hyperlink ref="H89" location="WiWi!E11" display="Variable AE FSR WiWi" xr:uid="{00000000-0004-0000-0000-00001C000000}"/>
    <hyperlink ref="H90" location="KSW!E11" display="Variable AE FSR KSW" xr:uid="{00000000-0004-0000-0000-00001D000000}"/>
    <hyperlink ref="H91" location="PSY!E11" display="Variable AE FSR PSY" xr:uid="{00000000-0004-0000-0000-00001E000000}"/>
    <hyperlink ref="H92" location="ReWi!E11" display="Variable AE FSR ReWi" xr:uid="{00000000-0004-0000-0000-00001F000000}"/>
    <hyperlink ref="H93" location="M_I!E11" display="Variable AE FSR M+I" xr:uid="{00000000-0004-0000-0000-000020000000}"/>
    <hyperlink ref="H161" location="WiWi!E14" display="WiWi" xr:uid="{00000000-0004-0000-0000-000021000000}"/>
    <hyperlink ref="H162" location="KSW!E14" display="KSW" xr:uid="{00000000-0004-0000-0000-000022000000}"/>
    <hyperlink ref="H163" location="PSY!E14" display="PSY" xr:uid="{00000000-0004-0000-0000-000023000000}"/>
    <hyperlink ref="H164" location="ReWi!E14" display="ReWi" xr:uid="{00000000-0004-0000-0000-000024000000}"/>
    <hyperlink ref="H165" location="M_I!E14" display="M+I" xr:uid="{00000000-0004-0000-0000-000025000000}"/>
    <hyperlink ref="H185" location="WiWi!E15" display="WiWi" xr:uid="{00000000-0004-0000-0000-000026000000}"/>
    <hyperlink ref="H186" location="KSW!E15" display="KSW" xr:uid="{00000000-0004-0000-0000-000027000000}"/>
    <hyperlink ref="H187" location="PSY!E15" display="PSY" xr:uid="{00000000-0004-0000-0000-000028000000}"/>
    <hyperlink ref="H188" location="ReWi!E15" display="ReWi" xr:uid="{00000000-0004-0000-0000-000029000000}"/>
    <hyperlink ref="H189" location="M_I!E15" display="M+I" xr:uid="{00000000-0004-0000-0000-00002A000000}"/>
    <hyperlink ref="H191" location="WiWi!E16" display="WiWi" xr:uid="{00000000-0004-0000-0000-00002B000000}"/>
    <hyperlink ref="H192" location="KSW!E16" display="KSW" xr:uid="{00000000-0004-0000-0000-00002C000000}"/>
    <hyperlink ref="H193" location="PSY!E16" display="PSY" xr:uid="{00000000-0004-0000-0000-00002D000000}"/>
    <hyperlink ref="H194" location="ReWi!E16" display="ReWi" xr:uid="{00000000-0004-0000-0000-00002E000000}"/>
    <hyperlink ref="H195" location="M_I!E16" display="M+I" xr:uid="{00000000-0004-0000-0000-00002F000000}"/>
    <hyperlink ref="H197" location="WiWi!E17" display="WiWi" xr:uid="{00000000-0004-0000-0000-000030000000}"/>
    <hyperlink ref="H198" location="KSW!E17" display="KSW" xr:uid="{00000000-0004-0000-0000-000031000000}"/>
    <hyperlink ref="H199" location="PSY!E17" display="PSY" xr:uid="{00000000-0004-0000-0000-000032000000}"/>
    <hyperlink ref="H200" location="ReWi!E17" display="ReWi" xr:uid="{00000000-0004-0000-0000-000033000000}"/>
    <hyperlink ref="H201" location="M_I!E17" display="M+I" xr:uid="{00000000-0004-0000-0000-000034000000}"/>
    <hyperlink ref="H203" location="WiWi!E18" display="WiWi" xr:uid="{00000000-0004-0000-0000-000035000000}"/>
    <hyperlink ref="H204" location="KSW!E18" display="KSW" xr:uid="{00000000-0004-0000-0000-000036000000}"/>
    <hyperlink ref="H205" location="PSY!E18" display="PSY" xr:uid="{00000000-0004-0000-0000-000037000000}"/>
    <hyperlink ref="H206" location="ReWi!E18" display="ReWi" xr:uid="{00000000-0004-0000-0000-000038000000}"/>
    <hyperlink ref="H207" location="M_I!E18" display="M+I" xr:uid="{00000000-0004-0000-0000-000039000000}"/>
    <hyperlink ref="H209" location="WiWi!E19" display="WiWi" xr:uid="{00000000-0004-0000-0000-00003A000000}"/>
    <hyperlink ref="H210" location="KSW!E19" display="KSW" xr:uid="{00000000-0004-0000-0000-00003B000000}"/>
    <hyperlink ref="H211" location="PSY!E19" display="PSY" xr:uid="{00000000-0004-0000-0000-00003C000000}"/>
    <hyperlink ref="H212" location="ReWi!E19" display="ReWi" xr:uid="{00000000-0004-0000-0000-00003D000000}"/>
    <hyperlink ref="H213" location="M_I!E19" display="M+I" xr:uid="{00000000-0004-0000-0000-00003E000000}"/>
    <hyperlink ref="H215" location="WiWi!E20" display="WiWi" xr:uid="{00000000-0004-0000-0000-00003F000000}"/>
    <hyperlink ref="H216" location="KSW!E20" display="KSW" xr:uid="{00000000-0004-0000-0000-000040000000}"/>
    <hyperlink ref="H217" location="PSY!E20" display="PSY" xr:uid="{00000000-0004-0000-0000-000041000000}"/>
    <hyperlink ref="H218" location="ReWi!E20" display="ReWi" xr:uid="{00000000-0004-0000-0000-000042000000}"/>
    <hyperlink ref="H219" location="M_I!E20" display="M+I" xr:uid="{00000000-0004-0000-0000-000043000000}"/>
    <hyperlink ref="H221" location="WiWi!E21" display="WiWi" xr:uid="{00000000-0004-0000-0000-000044000000}"/>
    <hyperlink ref="H222" location="KSW!E21" display="KSW" xr:uid="{00000000-0004-0000-0000-000045000000}"/>
    <hyperlink ref="H223" location="PSY!E21" display="PSY" xr:uid="{00000000-0004-0000-0000-000046000000}"/>
    <hyperlink ref="H224" location="ReWi!E21" display="ReWi" xr:uid="{00000000-0004-0000-0000-000047000000}"/>
    <hyperlink ref="H225" location="M_I!E21" display="M+I" xr:uid="{00000000-0004-0000-0000-000048000000}"/>
    <hyperlink ref="H254" location="Referatspläne!B123" display="Honorare Lerngruppen" xr:uid="{00000000-0004-0000-0000-000049000000}"/>
    <hyperlink ref="H255" location="Referatspläne!B131" display="Honorare Veranstaltungen Campus" xr:uid="{00000000-0004-0000-0000-00004A000000}"/>
    <hyperlink ref="H180" location="Referatspläne!J2" display="Druckkosten" xr:uid="{00000000-0004-0000-0000-00004B000000}"/>
    <hyperlink ref="H181" location="Referatspläne!K2" display="Sonstige Kosten" xr:uid="{00000000-0004-0000-0000-00004C000000}"/>
    <hyperlink ref="H20" location="Referatspläne!O1" display="AStA-Veranstaltungen" xr:uid="{00000000-0004-0000-0000-00004D000000}"/>
    <hyperlink ref="H19" location="Referatspläne!N1" display="AStA Seminare" xr:uid="{00000000-0004-0000-0000-00004E000000}"/>
    <hyperlink ref="H24" location="Referatspläne!P2" display="AStA" xr:uid="{00000000-0004-0000-0000-00004F000000}"/>
    <hyperlink ref="H29" location="Referatspläne!Q1" display="Förderungen Hopo" xr:uid="{00000000-0004-0000-0000-000050000000}"/>
    <hyperlink ref="H28" location="Referatspläne!Q1" display="Förderungen Inkl. U. Gleichstellung" xr:uid="{00000000-0004-0000-0000-000051000000}"/>
    <hyperlink ref="H30" location="Referatspläne!Q1" display="Sonstige Förderungen und Kooperationen" xr:uid="{00000000-0004-0000-0000-000052000000}"/>
    <hyperlink ref="H52" location="WiWi!E7" display="FSR WiWi" xr:uid="{00000000-0004-0000-0000-000053000000}"/>
    <hyperlink ref="H53" location="KSW!E7" display="FSR KSW" xr:uid="{00000000-0004-0000-0000-000054000000}"/>
    <hyperlink ref="H54" location="PSY!E7" display="FSR PSY" xr:uid="{00000000-0004-0000-0000-000055000000}"/>
    <hyperlink ref="H55" location="ReWi!E7" display="FSR ReWi" xr:uid="{00000000-0004-0000-0000-000056000000}"/>
    <hyperlink ref="H56" location="M_I!E7" display="FSR M+I" xr:uid="{00000000-0004-0000-0000-000057000000}"/>
    <hyperlink ref="H137" location="WiWi!E12" display="FSR WiWi" xr:uid="{00000000-0004-0000-0000-000058000000}"/>
    <hyperlink ref="H138" location="KSW!E12" display="FSR KSW" xr:uid="{00000000-0004-0000-0000-000059000000}"/>
    <hyperlink ref="H139" location="PSY!E12" display="FSR PSY" xr:uid="{00000000-0004-0000-0000-00005A000000}"/>
    <hyperlink ref="H140" location="ReWi!E12" display="FSR ReWi" xr:uid="{00000000-0004-0000-0000-00005B000000}"/>
    <hyperlink ref="H141" location="M_I!E12" display="FSR M+I" xr:uid="{00000000-0004-0000-0000-00005C000000}"/>
    <hyperlink ref="H80" location="Aufwandsentschädigungen!C4" display="Fest-AE Stupa-Präsidium und Ausschussvorsitze" xr:uid="{00000000-0004-0000-0000-00005D000000}"/>
    <hyperlink ref="H81" location="Aufwandsentschädigungen!I14" display="Variable AE Stupa, Ausschüsse, Arbeitsgruppen" xr:uid="{00000000-0004-0000-0000-00005E000000}"/>
    <hyperlink ref="H229" location="'Leistungen Dritter'!D5" display="Lohnbuchführung" xr:uid="{00000000-0004-0000-0000-00005F000000}"/>
    <hyperlink ref="H231" location="IT_Dienstl." display="IT-Dienstleistungen" xr:uid="{00000000-0004-0000-0000-000060000000}"/>
    <hyperlink ref="H125" location="IT_Mieten_Ges." display="IT-Mieten" xr:uid="{00000000-0004-0000-0000-000061000000}"/>
    <hyperlink ref="H123" location="Lizenzen_Ges." display="Lizenzen_Ges." xr:uid="{00000000-0004-0000-0000-000062000000}"/>
    <hyperlink ref="H135" location="Referatspläne!D4" display="FK und VP AStA-Referate und Gäste" xr:uid="{00000000-0004-0000-0000-000063000000}"/>
    <hyperlink ref="H158" location="Referatspläne!F2" display="AStA-Referate + Gäste" xr:uid="{00000000-0004-0000-0000-000064000000}"/>
    <hyperlink ref="H176" location="Referatspläne!C2" display="Andere Honorare" xr:uid="{00000000-0004-0000-0000-000065000000}"/>
    <hyperlink ref="H147" location="Referatspläne!H2" display="AStA-Referate und Gäste" xr:uid="{00000000-0004-0000-0000-000066000000}"/>
    <hyperlink ref="H99" location="Stellenplan!D6" display="Sachkostenpauschale" xr:uid="{00000000-0004-0000-0000-000067000000}"/>
    <hyperlink ref="H100" location="Stellenplan!E6" display="VBG Unfallversicherung AStA" xr:uid="{00000000-0004-0000-0000-000068000000}"/>
    <hyperlink ref="H256" location="Referatspläne!D131" display="Bewirtung und Repräsentation Campus" xr:uid="{00000000-0004-0000-0000-000069000000}"/>
    <hyperlink ref="H267" location="BHS_II" display="Maßnahmen BHS" xr:uid="{00000000-0004-0000-0000-00006A000000}"/>
  </hyperlink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77"/>
  <sheetViews>
    <sheetView workbookViewId="0">
      <selection activeCell="B57" sqref="B57"/>
    </sheetView>
  </sheetViews>
  <sheetFormatPr baseColWidth="10" defaultRowHeight="14.4" x14ac:dyDescent="0.3"/>
  <cols>
    <col min="2" max="2" width="56.44140625" customWidth="1"/>
    <col min="3" max="3" width="16.109375" customWidth="1"/>
  </cols>
  <sheetData>
    <row r="4" spans="1:3" x14ac:dyDescent="0.3">
      <c r="A4" s="1350" t="s">
        <v>134</v>
      </c>
      <c r="B4" s="1351" t="s">
        <v>1215</v>
      </c>
      <c r="C4" s="1212">
        <v>48000</v>
      </c>
    </row>
    <row r="5" spans="1:3" x14ac:dyDescent="0.3">
      <c r="A5" s="1350" t="s">
        <v>135</v>
      </c>
      <c r="B5" s="1351" t="s">
        <v>1210</v>
      </c>
      <c r="C5" s="1213">
        <f>SUBTOTAL(9,C6:C10)</f>
        <v>20300</v>
      </c>
    </row>
    <row r="6" spans="1:3" x14ac:dyDescent="0.3">
      <c r="A6" s="1350" t="s">
        <v>136</v>
      </c>
      <c r="B6" s="1352" t="s">
        <v>137</v>
      </c>
      <c r="C6" s="1214">
        <v>9500</v>
      </c>
    </row>
    <row r="7" spans="1:3" x14ac:dyDescent="0.3">
      <c r="A7" s="1350" t="s">
        <v>138</v>
      </c>
      <c r="B7" s="1352" t="s">
        <v>140</v>
      </c>
      <c r="C7" s="1214">
        <v>2000</v>
      </c>
    </row>
    <row r="8" spans="1:3" x14ac:dyDescent="0.3">
      <c r="A8" s="1350" t="s">
        <v>141</v>
      </c>
      <c r="B8" s="1352" t="s">
        <v>143</v>
      </c>
      <c r="C8" s="1214">
        <v>2000</v>
      </c>
    </row>
    <row r="9" spans="1:3" x14ac:dyDescent="0.3">
      <c r="A9" s="1350" t="s">
        <v>144</v>
      </c>
      <c r="B9" s="1352" t="s">
        <v>146</v>
      </c>
      <c r="C9" s="1214">
        <v>4400</v>
      </c>
    </row>
    <row r="10" spans="1:3" x14ac:dyDescent="0.3">
      <c r="A10" s="1350" t="s">
        <v>147</v>
      </c>
      <c r="B10" s="1352" t="s">
        <v>148</v>
      </c>
      <c r="C10" s="1214">
        <v>2400</v>
      </c>
    </row>
    <row r="11" spans="1:3" x14ac:dyDescent="0.3">
      <c r="A11" s="1350" t="s">
        <v>240</v>
      </c>
      <c r="B11" s="1351" t="s">
        <v>241</v>
      </c>
      <c r="C11" s="1354">
        <f>SUBTOTAL(9,C12:C16)</f>
        <v>27000</v>
      </c>
    </row>
    <row r="12" spans="1:3" x14ac:dyDescent="0.3">
      <c r="A12" s="1353" t="s">
        <v>242</v>
      </c>
      <c r="B12" s="1352" t="s">
        <v>70</v>
      </c>
      <c r="C12" s="1212">
        <v>14000</v>
      </c>
    </row>
    <row r="13" spans="1:3" x14ac:dyDescent="0.3">
      <c r="A13" s="1353" t="s">
        <v>244</v>
      </c>
      <c r="B13" s="1352" t="s">
        <v>72</v>
      </c>
      <c r="C13" s="1212">
        <v>2000</v>
      </c>
    </row>
    <row r="14" spans="1:3" x14ac:dyDescent="0.3">
      <c r="A14" s="1353" t="s">
        <v>246</v>
      </c>
      <c r="B14" s="1352" t="s">
        <v>75</v>
      </c>
      <c r="C14" s="1212">
        <v>2000</v>
      </c>
    </row>
    <row r="15" spans="1:3" x14ac:dyDescent="0.3">
      <c r="A15" s="1353" t="s">
        <v>248</v>
      </c>
      <c r="B15" s="1352" t="s">
        <v>78</v>
      </c>
      <c r="C15" s="1212">
        <v>6000</v>
      </c>
    </row>
    <row r="16" spans="1:3" x14ac:dyDescent="0.3">
      <c r="A16" s="1353" t="s">
        <v>250</v>
      </c>
      <c r="B16" s="1352" t="s">
        <v>80</v>
      </c>
      <c r="C16" s="1212">
        <v>3000</v>
      </c>
    </row>
    <row r="17" spans="1:3" x14ac:dyDescent="0.3">
      <c r="A17" s="1350" t="s">
        <v>264</v>
      </c>
      <c r="B17" s="1351" t="s">
        <v>265</v>
      </c>
      <c r="C17" s="1354">
        <f>SUBTOTAL(9,C18:C22)</f>
        <v>13000</v>
      </c>
    </row>
    <row r="18" spans="1:3" x14ac:dyDescent="0.3">
      <c r="A18" s="1353" t="s">
        <v>266</v>
      </c>
      <c r="B18" s="1352" t="s">
        <v>268</v>
      </c>
      <c r="C18" s="1212">
        <v>6000</v>
      </c>
    </row>
    <row r="19" spans="1:3" x14ac:dyDescent="0.3">
      <c r="A19" s="1353" t="s">
        <v>269</v>
      </c>
      <c r="B19" s="1352" t="s">
        <v>271</v>
      </c>
      <c r="C19" s="1212">
        <v>1500</v>
      </c>
    </row>
    <row r="20" spans="1:3" x14ac:dyDescent="0.3">
      <c r="A20" s="1353" t="s">
        <v>272</v>
      </c>
      <c r="B20" s="1352" t="s">
        <v>274</v>
      </c>
      <c r="C20" s="1212">
        <v>1500</v>
      </c>
    </row>
    <row r="21" spans="1:3" x14ac:dyDescent="0.3">
      <c r="A21" s="1353" t="s">
        <v>275</v>
      </c>
      <c r="B21" s="1352" t="s">
        <v>277</v>
      </c>
      <c r="C21" s="1212">
        <v>2500</v>
      </c>
    </row>
    <row r="22" spans="1:3" x14ac:dyDescent="0.3">
      <c r="A22" s="1353" t="s">
        <v>278</v>
      </c>
      <c r="B22" s="1352" t="s">
        <v>280</v>
      </c>
      <c r="C22" s="1212">
        <v>1500</v>
      </c>
    </row>
    <row r="23" spans="1:3" x14ac:dyDescent="0.3">
      <c r="A23" s="1350" t="s">
        <v>290</v>
      </c>
      <c r="B23" s="1351" t="s">
        <v>291</v>
      </c>
      <c r="C23" s="1354">
        <f>SUBTOTAL(9,C24:C28)</f>
        <v>2500</v>
      </c>
    </row>
    <row r="24" spans="1:3" x14ac:dyDescent="0.3">
      <c r="A24" s="1353" t="s">
        <v>292</v>
      </c>
      <c r="B24" s="1352" t="s">
        <v>268</v>
      </c>
      <c r="C24" s="1212">
        <v>500</v>
      </c>
    </row>
    <row r="25" spans="1:3" x14ac:dyDescent="0.3">
      <c r="A25" s="1353" t="s">
        <v>294</v>
      </c>
      <c r="B25" s="1352" t="s">
        <v>271</v>
      </c>
      <c r="C25" s="1212">
        <v>500</v>
      </c>
    </row>
    <row r="26" spans="1:3" x14ac:dyDescent="0.3">
      <c r="A26" s="1353" t="s">
        <v>296</v>
      </c>
      <c r="B26" s="1352" t="s">
        <v>274</v>
      </c>
      <c r="C26" s="1212">
        <v>500</v>
      </c>
    </row>
    <row r="27" spans="1:3" x14ac:dyDescent="0.3">
      <c r="A27" s="1353" t="s">
        <v>298</v>
      </c>
      <c r="B27" s="1352" t="s">
        <v>277</v>
      </c>
      <c r="C27" s="1212">
        <v>500</v>
      </c>
    </row>
    <row r="28" spans="1:3" x14ac:dyDescent="0.3">
      <c r="A28" s="1353" t="s">
        <v>300</v>
      </c>
      <c r="B28" s="1352" t="s">
        <v>280</v>
      </c>
      <c r="C28" s="1212">
        <v>500</v>
      </c>
    </row>
    <row r="29" spans="1:3" x14ac:dyDescent="0.3">
      <c r="A29" s="1350" t="s">
        <v>334</v>
      </c>
      <c r="B29" s="1351" t="s">
        <v>315</v>
      </c>
      <c r="C29" s="1354">
        <f>SUBTOTAL(9,C30:C34)</f>
        <v>90750</v>
      </c>
    </row>
    <row r="30" spans="1:3" x14ac:dyDescent="0.3">
      <c r="A30" s="1353" t="s">
        <v>335</v>
      </c>
      <c r="B30" s="1352" t="s">
        <v>268</v>
      </c>
      <c r="C30" s="1212">
        <v>43750</v>
      </c>
    </row>
    <row r="31" spans="1:3" x14ac:dyDescent="0.3">
      <c r="A31" s="1353" t="s">
        <v>337</v>
      </c>
      <c r="B31" s="1352" t="s">
        <v>271</v>
      </c>
      <c r="C31" s="1212">
        <v>4000</v>
      </c>
    </row>
    <row r="32" spans="1:3" x14ac:dyDescent="0.3">
      <c r="A32" s="1353" t="s">
        <v>339</v>
      </c>
      <c r="B32" s="1352" t="s">
        <v>274</v>
      </c>
      <c r="C32" s="1212">
        <v>5000</v>
      </c>
    </row>
    <row r="33" spans="1:3" x14ac:dyDescent="0.3">
      <c r="A33" s="1353" t="s">
        <v>341</v>
      </c>
      <c r="B33" s="1352" t="s">
        <v>277</v>
      </c>
      <c r="C33" s="1212">
        <v>25000</v>
      </c>
    </row>
    <row r="34" spans="1:3" x14ac:dyDescent="0.3">
      <c r="A34" s="1353" t="s">
        <v>343</v>
      </c>
      <c r="B34" s="1352" t="s">
        <v>280</v>
      </c>
      <c r="C34" s="1212">
        <v>13000</v>
      </c>
    </row>
    <row r="35" spans="1:3" x14ac:dyDescent="0.3">
      <c r="A35" s="1350" t="s">
        <v>345</v>
      </c>
      <c r="B35" s="1351" t="s">
        <v>318</v>
      </c>
      <c r="C35" s="1354">
        <f>SUBTOTAL(9,C36:C40)</f>
        <v>8000</v>
      </c>
    </row>
    <row r="36" spans="1:3" x14ac:dyDescent="0.3">
      <c r="A36" s="1353" t="s">
        <v>346</v>
      </c>
      <c r="B36" s="1352" t="s">
        <v>268</v>
      </c>
      <c r="C36" s="1212">
        <v>1000</v>
      </c>
    </row>
    <row r="37" spans="1:3" x14ac:dyDescent="0.3">
      <c r="A37" s="1353" t="s">
        <v>348</v>
      </c>
      <c r="B37" s="1352" t="s">
        <v>271</v>
      </c>
      <c r="C37" s="1212">
        <v>2000</v>
      </c>
    </row>
    <row r="38" spans="1:3" x14ac:dyDescent="0.3">
      <c r="A38" s="1353" t="s">
        <v>350</v>
      </c>
      <c r="B38" s="1352" t="s">
        <v>274</v>
      </c>
      <c r="C38" s="1212">
        <v>1000</v>
      </c>
    </row>
    <row r="39" spans="1:3" x14ac:dyDescent="0.3">
      <c r="A39" s="1353" t="s">
        <v>352</v>
      </c>
      <c r="B39" s="1352" t="s">
        <v>277</v>
      </c>
      <c r="C39" s="1212">
        <v>3000</v>
      </c>
    </row>
    <row r="40" spans="1:3" x14ac:dyDescent="0.3">
      <c r="A40" s="1353" t="s">
        <v>354</v>
      </c>
      <c r="B40" s="1352" t="s">
        <v>280</v>
      </c>
      <c r="C40" s="1212">
        <v>1000</v>
      </c>
    </row>
    <row r="41" spans="1:3" x14ac:dyDescent="0.3">
      <c r="A41" s="1350" t="s">
        <v>356</v>
      </c>
      <c r="B41" s="1351" t="s">
        <v>321</v>
      </c>
      <c r="C41" s="1354">
        <f>SUBTOTAL(9,C42:C46)</f>
        <v>2800</v>
      </c>
    </row>
    <row r="42" spans="1:3" x14ac:dyDescent="0.3">
      <c r="A42" s="1353" t="s">
        <v>357</v>
      </c>
      <c r="B42" s="1352" t="s">
        <v>268</v>
      </c>
      <c r="C42" s="1212">
        <v>500</v>
      </c>
    </row>
    <row r="43" spans="1:3" x14ac:dyDescent="0.3">
      <c r="A43" s="1353" t="s">
        <v>358</v>
      </c>
      <c r="B43" s="1352" t="s">
        <v>271</v>
      </c>
      <c r="C43" s="1212">
        <v>500</v>
      </c>
    </row>
    <row r="44" spans="1:3" x14ac:dyDescent="0.3">
      <c r="A44" s="1353" t="s">
        <v>359</v>
      </c>
      <c r="B44" s="1352" t="s">
        <v>274</v>
      </c>
      <c r="C44" s="1212">
        <v>500</v>
      </c>
    </row>
    <row r="45" spans="1:3" x14ac:dyDescent="0.3">
      <c r="A45" s="1353" t="s">
        <v>360</v>
      </c>
      <c r="B45" s="1352" t="s">
        <v>277</v>
      </c>
      <c r="C45" s="1212">
        <v>1000</v>
      </c>
    </row>
    <row r="46" spans="1:3" x14ac:dyDescent="0.3">
      <c r="A46" s="1353" t="s">
        <v>361</v>
      </c>
      <c r="B46" s="1352" t="s">
        <v>280</v>
      </c>
      <c r="C46" s="1212">
        <v>300</v>
      </c>
    </row>
    <row r="47" spans="1:3" x14ac:dyDescent="0.3">
      <c r="A47" s="1350" t="s">
        <v>362</v>
      </c>
      <c r="B47" s="1351" t="s">
        <v>363</v>
      </c>
      <c r="C47" s="1354">
        <f>SUBTOTAL(9,C48:C52)</f>
        <v>2700</v>
      </c>
    </row>
    <row r="48" spans="1:3" x14ac:dyDescent="0.3">
      <c r="A48" s="1353" t="s">
        <v>364</v>
      </c>
      <c r="B48" s="1352" t="s">
        <v>268</v>
      </c>
      <c r="C48" s="1214">
        <v>1500</v>
      </c>
    </row>
    <row r="49" spans="1:3" x14ac:dyDescent="0.3">
      <c r="A49" s="1353" t="s">
        <v>366</v>
      </c>
      <c r="B49" s="1352" t="s">
        <v>271</v>
      </c>
      <c r="C49" s="1214">
        <v>300</v>
      </c>
    </row>
    <row r="50" spans="1:3" x14ac:dyDescent="0.3">
      <c r="A50" s="1353" t="s">
        <v>368</v>
      </c>
      <c r="B50" s="1352" t="s">
        <v>274</v>
      </c>
      <c r="C50" s="1214">
        <v>300</v>
      </c>
    </row>
    <row r="51" spans="1:3" x14ac:dyDescent="0.3">
      <c r="A51" s="1353" t="s">
        <v>370</v>
      </c>
      <c r="B51" s="1352" t="s">
        <v>277</v>
      </c>
      <c r="C51" s="1214">
        <v>300</v>
      </c>
    </row>
    <row r="52" spans="1:3" x14ac:dyDescent="0.3">
      <c r="A52" s="1353" t="s">
        <v>372</v>
      </c>
      <c r="B52" s="1352" t="s">
        <v>280</v>
      </c>
      <c r="C52" s="1215">
        <v>300</v>
      </c>
    </row>
    <row r="53" spans="1:3" x14ac:dyDescent="0.3">
      <c r="A53" s="1350" t="s">
        <v>374</v>
      </c>
      <c r="B53" s="1351" t="s">
        <v>375</v>
      </c>
      <c r="C53" s="1354">
        <f>SUBTOTAL(9,C54:C58)</f>
        <v>3500</v>
      </c>
    </row>
    <row r="54" spans="1:3" x14ac:dyDescent="0.3">
      <c r="A54" s="1353" t="s">
        <v>376</v>
      </c>
      <c r="B54" s="1352" t="s">
        <v>268</v>
      </c>
      <c r="C54" s="1212">
        <v>500</v>
      </c>
    </row>
    <row r="55" spans="1:3" x14ac:dyDescent="0.3">
      <c r="A55" s="1353" t="s">
        <v>378</v>
      </c>
      <c r="B55" s="1352" t="s">
        <v>271</v>
      </c>
      <c r="C55" s="1212">
        <v>500</v>
      </c>
    </row>
    <row r="56" spans="1:3" x14ac:dyDescent="0.3">
      <c r="A56" s="1353" t="s">
        <v>380</v>
      </c>
      <c r="B56" s="1352" t="s">
        <v>274</v>
      </c>
      <c r="C56" s="1212">
        <v>500</v>
      </c>
    </row>
    <row r="57" spans="1:3" x14ac:dyDescent="0.3">
      <c r="A57" s="1353" t="s">
        <v>382</v>
      </c>
      <c r="B57" s="1352" t="s">
        <v>277</v>
      </c>
      <c r="C57" s="1212">
        <v>1500</v>
      </c>
    </row>
    <row r="58" spans="1:3" x14ac:dyDescent="0.3">
      <c r="A58" s="1353" t="s">
        <v>372</v>
      </c>
      <c r="B58" s="1352" t="s">
        <v>280</v>
      </c>
      <c r="C58" s="1212">
        <v>500</v>
      </c>
    </row>
    <row r="59" spans="1:3" x14ac:dyDescent="0.3">
      <c r="A59" s="1350" t="s">
        <v>385</v>
      </c>
      <c r="B59" s="1351" t="s">
        <v>1528</v>
      </c>
      <c r="C59" s="1354">
        <f>SUBTOTAL(9,C60:C64)</f>
        <v>6600</v>
      </c>
    </row>
    <row r="60" spans="1:3" x14ac:dyDescent="0.3">
      <c r="A60" s="203" t="s">
        <v>386</v>
      </c>
      <c r="B60" s="13" t="s">
        <v>268</v>
      </c>
      <c r="C60" s="1212">
        <v>5000</v>
      </c>
    </row>
    <row r="61" spans="1:3" x14ac:dyDescent="0.3">
      <c r="A61" s="203" t="s">
        <v>388</v>
      </c>
      <c r="B61" s="13" t="s">
        <v>271</v>
      </c>
      <c r="C61" s="1212">
        <v>500</v>
      </c>
    </row>
    <row r="62" spans="1:3" x14ac:dyDescent="0.3">
      <c r="A62" s="203" t="s">
        <v>390</v>
      </c>
      <c r="B62" s="13" t="s">
        <v>274</v>
      </c>
      <c r="C62" s="1212">
        <v>500</v>
      </c>
    </row>
    <row r="63" spans="1:3" x14ac:dyDescent="0.3">
      <c r="A63" s="203" t="s">
        <v>392</v>
      </c>
      <c r="B63" s="13" t="s">
        <v>277</v>
      </c>
      <c r="C63" s="1212">
        <v>100</v>
      </c>
    </row>
    <row r="64" spans="1:3" x14ac:dyDescent="0.3">
      <c r="A64" s="203" t="s">
        <v>394</v>
      </c>
      <c r="B64" s="13" t="s">
        <v>280</v>
      </c>
      <c r="C64" s="1212">
        <v>500</v>
      </c>
    </row>
    <row r="65" spans="1:3" x14ac:dyDescent="0.3">
      <c r="A65" s="1350" t="s">
        <v>385</v>
      </c>
      <c r="B65" s="1351" t="s">
        <v>1528</v>
      </c>
      <c r="C65" s="1354">
        <f>SUBTOTAL(9,C66:C70)</f>
        <v>6600</v>
      </c>
    </row>
    <row r="66" spans="1:3" x14ac:dyDescent="0.3">
      <c r="A66" s="1353" t="s">
        <v>386</v>
      </c>
      <c r="B66" s="1352" t="s">
        <v>268</v>
      </c>
      <c r="C66" s="1212">
        <v>5000</v>
      </c>
    </row>
    <row r="67" spans="1:3" x14ac:dyDescent="0.3">
      <c r="A67" s="1353" t="s">
        <v>388</v>
      </c>
      <c r="B67" s="1352" t="s">
        <v>271</v>
      </c>
      <c r="C67" s="1212">
        <v>500</v>
      </c>
    </row>
    <row r="68" spans="1:3" x14ac:dyDescent="0.3">
      <c r="A68" s="1353" t="s">
        <v>390</v>
      </c>
      <c r="B68" s="1352" t="s">
        <v>274</v>
      </c>
      <c r="C68" s="1212">
        <v>500</v>
      </c>
    </row>
    <row r="69" spans="1:3" x14ac:dyDescent="0.3">
      <c r="A69" s="1353" t="s">
        <v>392</v>
      </c>
      <c r="B69" s="1352" t="s">
        <v>277</v>
      </c>
      <c r="C69" s="1212">
        <v>100</v>
      </c>
    </row>
    <row r="70" spans="1:3" x14ac:dyDescent="0.3">
      <c r="A70" s="1353" t="s">
        <v>394</v>
      </c>
      <c r="B70" s="1352" t="s">
        <v>280</v>
      </c>
      <c r="C70" s="1212">
        <v>500</v>
      </c>
    </row>
    <row r="71" spans="1:3" x14ac:dyDescent="0.3">
      <c r="A71" s="1350" t="s">
        <v>396</v>
      </c>
      <c r="B71" s="1351" t="s">
        <v>397</v>
      </c>
      <c r="C71" s="1354">
        <f>SUBTOTAL(9,C72:C76)</f>
        <v>6000</v>
      </c>
    </row>
    <row r="72" spans="1:3" x14ac:dyDescent="0.3">
      <c r="A72" s="1353" t="s">
        <v>398</v>
      </c>
      <c r="B72" s="1352" t="s">
        <v>268</v>
      </c>
      <c r="C72" s="1212">
        <v>2000</v>
      </c>
    </row>
    <row r="73" spans="1:3" x14ac:dyDescent="0.3">
      <c r="A73" s="1353" t="s">
        <v>400</v>
      </c>
      <c r="B73" s="1352" t="s">
        <v>271</v>
      </c>
      <c r="C73" s="1212">
        <v>500</v>
      </c>
    </row>
    <row r="74" spans="1:3" x14ac:dyDescent="0.3">
      <c r="A74" s="1353" t="s">
        <v>402</v>
      </c>
      <c r="B74" s="1352" t="s">
        <v>274</v>
      </c>
      <c r="C74" s="1212">
        <v>500</v>
      </c>
    </row>
    <row r="75" spans="1:3" x14ac:dyDescent="0.3">
      <c r="A75" s="1353" t="s">
        <v>404</v>
      </c>
      <c r="B75" s="1352" t="s">
        <v>277</v>
      </c>
      <c r="C75" s="1212">
        <v>2500</v>
      </c>
    </row>
    <row r="76" spans="1:3" x14ac:dyDescent="0.3">
      <c r="A76" s="1353" t="s">
        <v>406</v>
      </c>
      <c r="B76" s="1352" t="s">
        <v>280</v>
      </c>
      <c r="C76" s="1212">
        <v>500</v>
      </c>
    </row>
    <row r="77" spans="1:3" x14ac:dyDescent="0.3">
      <c r="C77" s="14">
        <f>SUM(C5:C76)/2+C4</f>
        <v>237750</v>
      </c>
    </row>
  </sheetData>
  <hyperlinks>
    <hyperlink ref="B6" location="WiWi!E11" display="Variable AE FSR WiWi" xr:uid="{00000000-0004-0000-0100-000000000000}"/>
    <hyperlink ref="B7" location="KSW!E11" display="Variable AE FSR KSW" xr:uid="{00000000-0004-0000-0100-000001000000}"/>
    <hyperlink ref="B8" location="PSY!E11" display="Variable AE FSR PSY" xr:uid="{00000000-0004-0000-0100-000002000000}"/>
    <hyperlink ref="B9" location="ReWi!E11" display="Variable AE FSR ReWi" xr:uid="{00000000-0004-0000-0100-000003000000}"/>
    <hyperlink ref="B10" location="M_I!E11" display="Variable AE FSR M+I" xr:uid="{00000000-0004-0000-0100-000004000000}"/>
    <hyperlink ref="B12" location="WiWi!E12" display="FSR WiWi" xr:uid="{00000000-0004-0000-0100-000005000000}"/>
    <hyperlink ref="B13" location="KSW!E12" display="FSR KSW" xr:uid="{00000000-0004-0000-0100-000006000000}"/>
    <hyperlink ref="B14" location="PSY!E12" display="FSR PSY" xr:uid="{00000000-0004-0000-0100-000007000000}"/>
    <hyperlink ref="B15" location="ReWi!E12" display="FSR ReWi" xr:uid="{00000000-0004-0000-0100-000008000000}"/>
    <hyperlink ref="B16" location="M_I!E12" display="FSR M+I" xr:uid="{00000000-0004-0000-0100-000009000000}"/>
    <hyperlink ref="B18" location="WiWi!E13" display="WiWi" xr:uid="{00000000-0004-0000-0100-00000A000000}"/>
    <hyperlink ref="B19" location="KSW!E13" display="KSW" xr:uid="{00000000-0004-0000-0100-00000B000000}"/>
    <hyperlink ref="B20" location="PSY!E13" display="PSY" xr:uid="{00000000-0004-0000-0100-00000C000000}"/>
    <hyperlink ref="B21" location="ReWi!E13" display="ReWi" xr:uid="{00000000-0004-0000-0100-00000D000000}"/>
    <hyperlink ref="B22" location="M_I!E13" display="M+I" xr:uid="{00000000-0004-0000-0100-00000E000000}"/>
    <hyperlink ref="B24" location="WiWi!E14" display="WiWi" xr:uid="{00000000-0004-0000-0100-00000F000000}"/>
    <hyperlink ref="B25" location="KSW!E14" display="KSW" xr:uid="{00000000-0004-0000-0100-000010000000}"/>
    <hyperlink ref="B26" location="PSY!E14" display="PSY" xr:uid="{00000000-0004-0000-0100-000011000000}"/>
    <hyperlink ref="B27" location="ReWi!E14" display="ReWi" xr:uid="{00000000-0004-0000-0100-000012000000}"/>
    <hyperlink ref="B28" location="M_I!E14" display="M+I" xr:uid="{00000000-0004-0000-0100-000013000000}"/>
    <hyperlink ref="B30" location="WiWi!E15" display="WiWi" xr:uid="{00000000-0004-0000-0100-000014000000}"/>
    <hyperlink ref="B31" location="KSW!E15" display="KSW" xr:uid="{00000000-0004-0000-0100-000015000000}"/>
    <hyperlink ref="B32" location="PSY!E15" display="PSY" xr:uid="{00000000-0004-0000-0100-000016000000}"/>
    <hyperlink ref="B33" location="ReWi!E15" display="ReWi" xr:uid="{00000000-0004-0000-0100-000017000000}"/>
    <hyperlink ref="B34" location="M_I!E15" display="M+I" xr:uid="{00000000-0004-0000-0100-000018000000}"/>
    <hyperlink ref="B36" location="WiWi!E16" display="WiWi" xr:uid="{00000000-0004-0000-0100-000019000000}"/>
    <hyperlink ref="B37" location="KSW!E16" display="KSW" xr:uid="{00000000-0004-0000-0100-00001A000000}"/>
    <hyperlink ref="B38" location="PSY!E16" display="PSY" xr:uid="{00000000-0004-0000-0100-00001B000000}"/>
    <hyperlink ref="B39" location="ReWi!E16" display="ReWi" xr:uid="{00000000-0004-0000-0100-00001C000000}"/>
    <hyperlink ref="B40" location="M_I!E16" display="M+I" xr:uid="{00000000-0004-0000-0100-00001D000000}"/>
    <hyperlink ref="B42" location="WiWi!E17" display="WiWi" xr:uid="{00000000-0004-0000-0100-00001E000000}"/>
    <hyperlink ref="B43" location="KSW!E17" display="KSW" xr:uid="{00000000-0004-0000-0100-00001F000000}"/>
    <hyperlink ref="B44" location="PSY!E17" display="PSY" xr:uid="{00000000-0004-0000-0100-000020000000}"/>
    <hyperlink ref="B45" location="ReWi!E17" display="ReWi" xr:uid="{00000000-0004-0000-0100-000021000000}"/>
    <hyperlink ref="B46" location="M_I!E17" display="M+I" xr:uid="{00000000-0004-0000-0100-000022000000}"/>
    <hyperlink ref="B48" location="WiWi!E18" display="WiWi" xr:uid="{00000000-0004-0000-0100-000023000000}"/>
    <hyperlink ref="B49" location="KSW!E18" display="KSW" xr:uid="{00000000-0004-0000-0100-000024000000}"/>
    <hyperlink ref="B50" location="PSY!E18" display="PSY" xr:uid="{00000000-0004-0000-0100-000025000000}"/>
    <hyperlink ref="B51" location="ReWi!E18" display="ReWi" xr:uid="{00000000-0004-0000-0100-000026000000}"/>
    <hyperlink ref="B52" location="M_I!E18" display="M+I" xr:uid="{00000000-0004-0000-0100-000027000000}"/>
    <hyperlink ref="B54" location="WiWi!E19" display="WiWi" xr:uid="{00000000-0004-0000-0100-000028000000}"/>
    <hyperlink ref="B55" location="KSW!E19" display="KSW" xr:uid="{00000000-0004-0000-0100-000029000000}"/>
    <hyperlink ref="B56" location="PSY!E19" display="PSY" xr:uid="{00000000-0004-0000-0100-00002A000000}"/>
    <hyperlink ref="B57" location="ReWi!E19" display="ReWi" xr:uid="{00000000-0004-0000-0100-00002B000000}"/>
    <hyperlink ref="B58" location="M_I!E19" display="M+I" xr:uid="{00000000-0004-0000-0100-00002C000000}"/>
    <hyperlink ref="B66" location="WiWi!E20" display="WiWi" xr:uid="{00000000-0004-0000-0100-00002D000000}"/>
    <hyperlink ref="B67" location="KSW!E20" display="KSW" xr:uid="{00000000-0004-0000-0100-00002E000000}"/>
    <hyperlink ref="B68" location="PSY!E20" display="PSY" xr:uid="{00000000-0004-0000-0100-00002F000000}"/>
    <hyperlink ref="B69" location="ReWi!E20" display="ReWi" xr:uid="{00000000-0004-0000-0100-000030000000}"/>
    <hyperlink ref="B70" location="M_I!E20" display="M+I" xr:uid="{00000000-0004-0000-0100-000031000000}"/>
    <hyperlink ref="B72" location="WiWi!E21" display="WiWi" xr:uid="{00000000-0004-0000-0100-000032000000}"/>
    <hyperlink ref="B73" location="KSW!E21" display="KSW" xr:uid="{00000000-0004-0000-0100-000033000000}"/>
    <hyperlink ref="B74" location="PSY!E21" display="PSY" xr:uid="{00000000-0004-0000-0100-000034000000}"/>
    <hyperlink ref="B75" location="ReWi!E21" display="ReWi" xr:uid="{00000000-0004-0000-0100-000035000000}"/>
    <hyperlink ref="B76" location="M_I!E21" display="M+I" xr:uid="{00000000-0004-0000-0100-000036000000}"/>
    <hyperlink ref="B64" location="M_I!E20" display="M+I" xr:uid="{00000000-0004-0000-0100-000037000000}"/>
    <hyperlink ref="B63" location="ReWi!E20" display="ReWi" xr:uid="{00000000-0004-0000-0100-000038000000}"/>
    <hyperlink ref="B62" location="PSY!E20" display="PSY" xr:uid="{00000000-0004-0000-0100-000039000000}"/>
    <hyperlink ref="B61" location="KSW!E20" display="KSW" xr:uid="{00000000-0004-0000-0100-00003A000000}"/>
    <hyperlink ref="B60" location="WiWi!E20" display="WiWi" xr:uid="{00000000-0004-0000-0100-00003B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W85"/>
  <sheetViews>
    <sheetView topLeftCell="A4" zoomScaleNormal="100" workbookViewId="0">
      <selection activeCell="G19" sqref="G19"/>
    </sheetView>
  </sheetViews>
  <sheetFormatPr baseColWidth="10" defaultColWidth="11.44140625" defaultRowHeight="14.4" x14ac:dyDescent="0.3"/>
  <cols>
    <col min="1" max="1" width="22.44140625" customWidth="1"/>
    <col min="2" max="2" width="22" customWidth="1"/>
    <col min="3" max="3" width="19" customWidth="1"/>
    <col min="4" max="4" width="26.109375" customWidth="1"/>
    <col min="5" max="5" width="19.44140625" customWidth="1"/>
    <col min="6" max="6" width="21" customWidth="1"/>
    <col min="7" max="7" width="22.44140625" customWidth="1"/>
    <col min="8" max="8" width="22" customWidth="1"/>
    <col min="9" max="9" width="13.6640625" customWidth="1"/>
    <col min="10" max="10" width="21.77734375" customWidth="1"/>
    <col min="11" max="11" width="19.44140625" customWidth="1"/>
  </cols>
  <sheetData>
    <row r="1" spans="1:23" ht="18" x14ac:dyDescent="0.35">
      <c r="A1" s="11" t="s">
        <v>564</v>
      </c>
    </row>
    <row r="2" spans="1:23" ht="15" thickBot="1" x14ac:dyDescent="0.35"/>
    <row r="3" spans="1:23" ht="46.8" x14ac:dyDescent="0.3">
      <c r="A3" s="1265" t="s">
        <v>1552</v>
      </c>
      <c r="B3" s="1266" t="s">
        <v>566</v>
      </c>
      <c r="C3" s="1266" t="s">
        <v>567</v>
      </c>
      <c r="D3" s="1266" t="s">
        <v>161</v>
      </c>
      <c r="E3" s="1256" t="s">
        <v>568</v>
      </c>
      <c r="F3" s="1323"/>
      <c r="G3" s="1265" t="s">
        <v>565</v>
      </c>
      <c r="H3" s="300" t="s">
        <v>566</v>
      </c>
      <c r="I3" s="300" t="s">
        <v>567</v>
      </c>
      <c r="J3" s="300" t="s">
        <v>161</v>
      </c>
      <c r="K3" s="132" t="s">
        <v>568</v>
      </c>
      <c r="M3" s="299" t="s">
        <v>569</v>
      </c>
      <c r="N3" s="300" t="s">
        <v>566</v>
      </c>
      <c r="O3" s="300" t="s">
        <v>567</v>
      </c>
      <c r="P3" s="300" t="s">
        <v>161</v>
      </c>
      <c r="Q3" s="132" t="s">
        <v>568</v>
      </c>
      <c r="S3" s="299" t="s">
        <v>1335</v>
      </c>
      <c r="T3" s="300" t="s">
        <v>566</v>
      </c>
      <c r="U3" s="300" t="s">
        <v>567</v>
      </c>
      <c r="V3" s="300" t="s">
        <v>161</v>
      </c>
      <c r="W3" s="132" t="s">
        <v>568</v>
      </c>
    </row>
    <row r="4" spans="1:23" x14ac:dyDescent="0.3">
      <c r="A4" s="1255">
        <v>12</v>
      </c>
      <c r="B4" s="1325">
        <v>520</v>
      </c>
      <c r="C4" s="1325">
        <f>B4*0.25</f>
        <v>130</v>
      </c>
      <c r="D4" s="1325">
        <v>175</v>
      </c>
      <c r="E4" s="1257"/>
      <c r="F4" s="14"/>
      <c r="G4" s="1255">
        <v>13</v>
      </c>
      <c r="H4" s="293">
        <v>450</v>
      </c>
      <c r="I4" s="293">
        <f>450*0.25</f>
        <v>112.5</v>
      </c>
      <c r="J4" s="293">
        <v>175</v>
      </c>
      <c r="K4" s="133"/>
      <c r="M4" s="44">
        <v>13</v>
      </c>
      <c r="N4" s="293">
        <v>450</v>
      </c>
      <c r="O4" s="293">
        <f>450*0.25</f>
        <v>112.5</v>
      </c>
      <c r="P4" s="293">
        <v>175</v>
      </c>
      <c r="Q4" s="133"/>
      <c r="S4" s="44">
        <v>13</v>
      </c>
      <c r="T4" s="293">
        <v>450</v>
      </c>
      <c r="U4" s="293">
        <f>450*0.25</f>
        <v>112.5</v>
      </c>
      <c r="V4" s="293">
        <v>175</v>
      </c>
      <c r="W4" s="133"/>
    </row>
    <row r="5" spans="1:23" ht="15" thickBot="1" x14ac:dyDescent="0.35">
      <c r="A5" s="1258" t="s">
        <v>570</v>
      </c>
      <c r="B5" s="1259">
        <f>450*12*A4</f>
        <v>64800</v>
      </c>
      <c r="C5" s="1259">
        <f>C4*12*A4</f>
        <v>18720</v>
      </c>
      <c r="D5" s="1259">
        <f>D4*12*A4</f>
        <v>25200</v>
      </c>
      <c r="E5" s="1260">
        <v>185</v>
      </c>
      <c r="F5" s="14"/>
      <c r="G5" s="1258" t="s">
        <v>570</v>
      </c>
      <c r="H5" s="135">
        <f>450*12*G4</f>
        <v>70200</v>
      </c>
      <c r="I5" s="135">
        <f>I4*12*G4</f>
        <v>17550</v>
      </c>
      <c r="J5" s="135">
        <f>J4*12*G4</f>
        <v>27300</v>
      </c>
      <c r="K5" s="136">
        <v>185</v>
      </c>
      <c r="L5" s="25"/>
      <c r="M5" s="134" t="s">
        <v>570</v>
      </c>
      <c r="N5" s="135">
        <f>450*12*M4</f>
        <v>70200</v>
      </c>
      <c r="O5" s="135">
        <f>O4*12*M4</f>
        <v>17550</v>
      </c>
      <c r="P5" s="135">
        <f>P4*12*M4</f>
        <v>27300</v>
      </c>
      <c r="Q5" s="136">
        <v>185</v>
      </c>
      <c r="S5" s="134" t="s">
        <v>570</v>
      </c>
      <c r="T5" s="135">
        <f>450*12*S4</f>
        <v>70200</v>
      </c>
      <c r="U5" s="135">
        <f>U4*12*S4</f>
        <v>17550</v>
      </c>
      <c r="V5" s="135">
        <f>V4*12*S4</f>
        <v>27300</v>
      </c>
      <c r="W5" s="136">
        <v>185</v>
      </c>
    </row>
    <row r="6" spans="1:23" ht="15" thickBot="1" x14ac:dyDescent="0.35">
      <c r="A6" s="1258" t="s">
        <v>571</v>
      </c>
      <c r="B6" s="1262">
        <v>75000</v>
      </c>
      <c r="C6" s="1262">
        <v>22000</v>
      </c>
      <c r="D6" s="1262">
        <v>27000</v>
      </c>
      <c r="E6" s="1263">
        <v>250</v>
      </c>
      <c r="F6" s="1324"/>
      <c r="G6" s="1258" t="s">
        <v>571</v>
      </c>
      <c r="H6" s="213">
        <v>63000</v>
      </c>
      <c r="I6" s="213">
        <v>19000</v>
      </c>
      <c r="J6" s="213">
        <v>25000</v>
      </c>
      <c r="K6" s="214">
        <v>185</v>
      </c>
      <c r="L6" s="27"/>
      <c r="M6" s="134" t="s">
        <v>571</v>
      </c>
      <c r="N6" s="213">
        <v>70000</v>
      </c>
      <c r="O6" s="213">
        <v>18000</v>
      </c>
      <c r="P6" s="213">
        <v>27000</v>
      </c>
      <c r="Q6" s="214">
        <v>200</v>
      </c>
      <c r="S6" s="134" t="s">
        <v>571</v>
      </c>
      <c r="T6" s="213">
        <v>70000</v>
      </c>
      <c r="U6" s="213">
        <v>18000</v>
      </c>
      <c r="V6" s="213">
        <v>27000</v>
      </c>
      <c r="W6" s="214">
        <v>200</v>
      </c>
    </row>
    <row r="7" spans="1:23" x14ac:dyDescent="0.3">
      <c r="A7" s="137"/>
      <c r="B7" s="138"/>
      <c r="C7" s="138"/>
      <c r="D7" s="138"/>
      <c r="E7" s="138"/>
      <c r="F7" s="27"/>
      <c r="G7" s="27"/>
      <c r="H7" s="27"/>
      <c r="I7" s="27"/>
      <c r="J7" s="26"/>
      <c r="K7" s="28"/>
    </row>
    <row r="10" spans="1:23" ht="16.8" x14ac:dyDescent="0.3">
      <c r="A10" s="38" t="s">
        <v>1547</v>
      </c>
      <c r="B10" s="39"/>
      <c r="C10" s="39"/>
      <c r="D10" s="39"/>
      <c r="I10" s="697">
        <v>13</v>
      </c>
    </row>
    <row r="11" spans="1:23" x14ac:dyDescent="0.3">
      <c r="A11" s="39"/>
      <c r="B11" s="39"/>
      <c r="C11" s="39"/>
      <c r="D11" s="39"/>
    </row>
    <row r="12" spans="1:23" ht="15" thickBot="1" x14ac:dyDescent="0.35">
      <c r="D12" s="696"/>
      <c r="E12" s="696"/>
      <c r="F12" s="696"/>
    </row>
    <row r="13" spans="1:23" ht="16.8" x14ac:dyDescent="0.3">
      <c r="A13" s="1336" t="s">
        <v>1547</v>
      </c>
      <c r="B13" s="1337"/>
      <c r="C13" s="1337"/>
      <c r="D13" s="1334" t="s">
        <v>1568</v>
      </c>
      <c r="E13" s="1334" t="s">
        <v>1566</v>
      </c>
      <c r="F13" s="1334" t="s">
        <v>1567</v>
      </c>
      <c r="G13" s="1335" t="s">
        <v>1549</v>
      </c>
      <c r="H13" s="953"/>
      <c r="I13" s="697"/>
    </row>
    <row r="14" spans="1:23" x14ac:dyDescent="0.3">
      <c r="A14" s="1338" t="s">
        <v>578</v>
      </c>
      <c r="B14" s="1339" t="s">
        <v>1235</v>
      </c>
      <c r="C14" s="1339" t="s">
        <v>1236</v>
      </c>
      <c r="D14" s="57">
        <v>44402.534400000004</v>
      </c>
      <c r="E14" s="57">
        <f>654.187451841*I10</f>
        <v>8504.4368739330002</v>
      </c>
      <c r="F14" s="57">
        <v>2332.0910610000001</v>
      </c>
      <c r="G14" s="1340">
        <f>SUM(D14:F14)</f>
        <v>55239.062334933005</v>
      </c>
      <c r="H14" t="s">
        <v>1571</v>
      </c>
    </row>
    <row r="15" spans="1:23" x14ac:dyDescent="0.3">
      <c r="A15" s="1338" t="s">
        <v>578</v>
      </c>
      <c r="B15" s="1339" t="s">
        <v>1237</v>
      </c>
      <c r="C15" s="1339" t="s">
        <v>1238</v>
      </c>
      <c r="D15" s="57">
        <v>58774.867200000001</v>
      </c>
      <c r="E15" s="57">
        <f>865.821326464*I10</f>
        <v>11255.677244032</v>
      </c>
      <c r="F15" s="57">
        <v>2926.3835609999996</v>
      </c>
      <c r="G15" s="1340">
        <f>SUM(D15:F15)</f>
        <v>72956.928005031994</v>
      </c>
      <c r="H15" t="s">
        <v>1572</v>
      </c>
      <c r="I15" s="697"/>
    </row>
    <row r="16" spans="1:23" x14ac:dyDescent="0.3">
      <c r="A16" s="1338" t="s">
        <v>578</v>
      </c>
      <c r="B16" s="1339" t="s">
        <v>1239</v>
      </c>
      <c r="C16" s="1339" t="s">
        <v>1240</v>
      </c>
      <c r="D16" s="57">
        <v>54792.729599999999</v>
      </c>
      <c r="E16" s="57">
        <f>807.721632*I10</f>
        <v>10500.381216</v>
      </c>
      <c r="F16" s="57">
        <v>2892.8325239999999</v>
      </c>
      <c r="G16" s="1340">
        <f>SUM(D16:F16)</f>
        <v>68185.943339999998</v>
      </c>
      <c r="H16" s="14" t="s">
        <v>1573</v>
      </c>
    </row>
    <row r="17" spans="1:13" x14ac:dyDescent="0.3">
      <c r="A17" s="1338" t="s">
        <v>578</v>
      </c>
      <c r="B17" s="1339" t="s">
        <v>1241</v>
      </c>
      <c r="C17" s="1339" t="s">
        <v>1240</v>
      </c>
      <c r="D17" s="57">
        <v>38172.556799999998</v>
      </c>
      <c r="E17" s="57">
        <f>549.093513*I10</f>
        <v>7138.2156690000002</v>
      </c>
      <c r="F17" s="57">
        <v>2011.9845329999998</v>
      </c>
      <c r="G17" s="1340">
        <f>SUM(D17:F17)</f>
        <v>47322.757001999998</v>
      </c>
      <c r="H17" s="14" t="s">
        <v>1574</v>
      </c>
    </row>
    <row r="18" spans="1:13" ht="15" thickBot="1" x14ac:dyDescent="0.35">
      <c r="A18" s="1341" t="s">
        <v>578</v>
      </c>
      <c r="B18" s="1342" t="s">
        <v>1570</v>
      </c>
      <c r="C18" s="1342" t="s">
        <v>1240</v>
      </c>
      <c r="D18" s="1343">
        <v>30888</v>
      </c>
      <c r="E18" s="1343">
        <v>5500</v>
      </c>
      <c r="F18" s="1343">
        <v>1983.9125159999996</v>
      </c>
      <c r="G18" s="1340">
        <f>SUM(D18:F18)</f>
        <v>38371.912515999997</v>
      </c>
      <c r="H18" s="962" t="s">
        <v>1548</v>
      </c>
    </row>
    <row r="19" spans="1:13" ht="15" thickBot="1" x14ac:dyDescent="0.35">
      <c r="A19" s="248" t="s">
        <v>592</v>
      </c>
      <c r="B19" s="249"/>
      <c r="C19" s="249"/>
      <c r="D19" s="1344">
        <f>SUM(D14:D18)</f>
        <v>227030.68799999999</v>
      </c>
      <c r="E19" s="1344">
        <f>SUM(E14:E18)</f>
        <v>42898.711002964999</v>
      </c>
      <c r="F19" s="1344">
        <f>SUM(F14:F18)</f>
        <v>12147.204194999998</v>
      </c>
      <c r="G19" s="1345">
        <f>SUM(G14:G18)</f>
        <v>282076.60319796501</v>
      </c>
      <c r="H19" s="963" t="s">
        <v>1338</v>
      </c>
    </row>
    <row r="20" spans="1:13" x14ac:dyDescent="0.3">
      <c r="D20" s="696"/>
      <c r="E20" s="696"/>
      <c r="F20" s="696"/>
    </row>
    <row r="21" spans="1:13" x14ac:dyDescent="0.3">
      <c r="A21" t="s">
        <v>568</v>
      </c>
      <c r="D21" s="1322">
        <v>750</v>
      </c>
      <c r="E21" s="696"/>
      <c r="F21" s="696"/>
      <c r="H21" s="16" t="s">
        <v>1575</v>
      </c>
      <c r="I21" s="14"/>
      <c r="J21" s="14" t="s">
        <v>1576</v>
      </c>
      <c r="K21" s="14"/>
      <c r="L21" s="14" t="s">
        <v>1577</v>
      </c>
      <c r="M21" s="14" t="s">
        <v>1578</v>
      </c>
    </row>
    <row r="22" spans="1:13" x14ac:dyDescent="0.3">
      <c r="D22" s="696"/>
      <c r="E22" s="696"/>
      <c r="F22" s="696"/>
      <c r="H22" s="14"/>
      <c r="I22" s="14"/>
      <c r="J22" s="14">
        <v>200</v>
      </c>
      <c r="K22" s="14"/>
      <c r="L22" s="14">
        <v>5.5E-2</v>
      </c>
      <c r="M22" s="14">
        <v>8</v>
      </c>
    </row>
    <row r="23" spans="1:13" ht="15" thickBot="1" x14ac:dyDescent="0.35">
      <c r="A23" s="6" t="s">
        <v>607</v>
      </c>
      <c r="B23" s="6"/>
      <c r="C23" s="6"/>
      <c r="D23" s="704"/>
      <c r="E23" s="704"/>
      <c r="H23" s="14"/>
      <c r="I23" s="14"/>
      <c r="J23" s="14"/>
      <c r="K23" s="14"/>
      <c r="L23" s="14"/>
      <c r="M23" s="14"/>
    </row>
    <row r="24" spans="1:13" ht="17.399999999999999" thickTop="1" x14ac:dyDescent="0.3">
      <c r="A24" s="38"/>
      <c r="B24" s="39"/>
      <c r="C24" s="39"/>
      <c r="D24" s="39"/>
      <c r="F24" s="31"/>
      <c r="G24" s="31"/>
      <c r="H24" s="14">
        <v>3876.84</v>
      </c>
      <c r="I24" s="14">
        <v>50398.92</v>
      </c>
      <c r="J24" s="14">
        <v>4076.84</v>
      </c>
      <c r="K24" s="14">
        <v>52998.92</v>
      </c>
      <c r="L24" s="14">
        <v>224.22620000000001</v>
      </c>
      <c r="M24" s="14">
        <v>1793.8096</v>
      </c>
    </row>
    <row r="25" spans="1:13" ht="15" thickBot="1" x14ac:dyDescent="0.35">
      <c r="A25" s="24"/>
      <c r="B25" s="24"/>
      <c r="C25" s="29"/>
      <c r="D25" s="30"/>
      <c r="E25" s="24"/>
      <c r="H25" s="14">
        <v>4173.13</v>
      </c>
      <c r="I25" s="14">
        <v>54250.69</v>
      </c>
      <c r="J25" s="14">
        <v>4373.13</v>
      </c>
      <c r="K25" s="14">
        <v>56850.69</v>
      </c>
      <c r="L25" s="14">
        <v>240.52215000000001</v>
      </c>
      <c r="M25" s="14">
        <v>1924.1772000000001</v>
      </c>
    </row>
    <row r="26" spans="1:13" x14ac:dyDescent="0.3">
      <c r="A26" s="321" t="s">
        <v>1</v>
      </c>
      <c r="B26" s="322"/>
      <c r="C26" s="1321" t="s">
        <v>1550</v>
      </c>
      <c r="D26" s="1317" t="s">
        <v>1330</v>
      </c>
      <c r="E26" s="705" t="s">
        <v>531</v>
      </c>
      <c r="F26" s="323" t="s">
        <v>530</v>
      </c>
      <c r="G26" s="24"/>
      <c r="H26" s="14">
        <v>2640.2200000000003</v>
      </c>
      <c r="I26" s="14">
        <v>34322.86</v>
      </c>
      <c r="J26" s="14">
        <v>2840.2200000000003</v>
      </c>
      <c r="K26" s="14">
        <v>36922.86</v>
      </c>
      <c r="L26" s="14">
        <v>156.21210000000002</v>
      </c>
      <c r="M26" s="14">
        <v>1249.6968000000002</v>
      </c>
    </row>
    <row r="27" spans="1:13" x14ac:dyDescent="0.3">
      <c r="A27" s="44" t="s">
        <v>586</v>
      </c>
      <c r="B27" s="324" t="s">
        <v>1551</v>
      </c>
      <c r="C27" s="1347">
        <v>230000</v>
      </c>
      <c r="D27" s="1318">
        <v>118000</v>
      </c>
      <c r="E27" s="41">
        <v>102000</v>
      </c>
      <c r="F27" s="41">
        <v>92500</v>
      </c>
      <c r="G27" s="24"/>
      <c r="H27" s="14">
        <v>3103.76</v>
      </c>
      <c r="I27" s="14">
        <v>40348.880000000005</v>
      </c>
      <c r="J27" s="14">
        <v>3303.76</v>
      </c>
      <c r="K27" s="14">
        <v>42948.880000000005</v>
      </c>
      <c r="L27" s="14">
        <v>181.70680000000002</v>
      </c>
      <c r="M27" s="14">
        <v>1453.6544000000001</v>
      </c>
    </row>
    <row r="28" spans="1:13" x14ac:dyDescent="0.3">
      <c r="A28" s="44" t="s">
        <v>169</v>
      </c>
      <c r="B28" s="324" t="s">
        <v>588</v>
      </c>
      <c r="C28" s="1347">
        <v>0</v>
      </c>
      <c r="D28" s="1318">
        <v>26000</v>
      </c>
      <c r="E28" s="42">
        <v>28000</v>
      </c>
      <c r="F28" s="42">
        <v>26000</v>
      </c>
      <c r="H28" s="166">
        <v>2500</v>
      </c>
      <c r="I28" s="166">
        <v>27500</v>
      </c>
      <c r="J28" s="166">
        <v>2700</v>
      </c>
      <c r="K28" s="166">
        <v>29700</v>
      </c>
      <c r="L28" s="166">
        <v>148.5</v>
      </c>
      <c r="M28" s="166">
        <v>1188</v>
      </c>
    </row>
    <row r="29" spans="1:13" x14ac:dyDescent="0.3">
      <c r="A29" s="44" t="s">
        <v>589</v>
      </c>
      <c r="B29" s="324" t="s">
        <v>590</v>
      </c>
      <c r="C29" s="1347">
        <v>50000</v>
      </c>
      <c r="D29" s="1318">
        <v>77000</v>
      </c>
      <c r="E29" s="42">
        <v>75000</v>
      </c>
      <c r="F29" s="42">
        <v>73000</v>
      </c>
      <c r="H29" s="14"/>
      <c r="I29" s="14"/>
      <c r="J29" s="14"/>
      <c r="K29" s="14"/>
      <c r="L29" s="14"/>
      <c r="M29" s="14"/>
    </row>
    <row r="30" spans="1:13" ht="15" thickBot="1" x14ac:dyDescent="0.35">
      <c r="A30" s="325" t="s">
        <v>174</v>
      </c>
      <c r="B30" s="326" t="s">
        <v>591</v>
      </c>
      <c r="C30" s="1348">
        <v>16000</v>
      </c>
      <c r="D30" s="1319">
        <v>15000</v>
      </c>
      <c r="E30" s="327">
        <v>15000</v>
      </c>
      <c r="F30" s="327">
        <v>14500</v>
      </c>
      <c r="H30" s="14"/>
      <c r="I30" s="14"/>
      <c r="J30" s="14"/>
      <c r="K30" s="14" t="s">
        <v>1579</v>
      </c>
      <c r="L30" s="14"/>
      <c r="M30" s="14">
        <v>54792.729599999999</v>
      </c>
    </row>
    <row r="31" spans="1:13" ht="15" thickBot="1" x14ac:dyDescent="0.35">
      <c r="A31" s="248" t="s">
        <v>1244</v>
      </c>
      <c r="B31" s="249"/>
      <c r="C31" s="1320">
        <f>SUM(C27:C30)</f>
        <v>296000</v>
      </c>
      <c r="D31" s="1320">
        <f>SUM(D27:D30)</f>
        <v>236000</v>
      </c>
      <c r="E31" s="43">
        <f>SUM(E27:E30)</f>
        <v>220000</v>
      </c>
      <c r="F31" s="43">
        <f>SUM(F27:F30)</f>
        <v>206000</v>
      </c>
      <c r="H31" s="14"/>
      <c r="I31" s="14"/>
      <c r="J31" s="14"/>
      <c r="K31" s="14"/>
      <c r="L31" s="14"/>
      <c r="M31" s="14">
        <v>58774.867200000001</v>
      </c>
    </row>
    <row r="32" spans="1:13" x14ac:dyDescent="0.3">
      <c r="A32" s="24"/>
      <c r="B32" s="24"/>
      <c r="C32" s="29"/>
      <c r="H32" s="14"/>
      <c r="I32" s="14"/>
      <c r="J32" s="14"/>
      <c r="K32" s="14"/>
      <c r="L32" s="14"/>
      <c r="M32" s="14">
        <v>38172.556799999998</v>
      </c>
    </row>
    <row r="33" spans="1:13" x14ac:dyDescent="0.3">
      <c r="A33" s="24"/>
      <c r="B33" s="24"/>
      <c r="C33" s="29"/>
      <c r="D33" s="706"/>
      <c r="H33" s="14"/>
      <c r="I33" s="14"/>
      <c r="J33" s="14"/>
      <c r="K33" s="14"/>
      <c r="L33" s="14"/>
      <c r="M33" s="14">
        <v>44402.534400000004</v>
      </c>
    </row>
    <row r="34" spans="1:13" x14ac:dyDescent="0.3">
      <c r="H34" s="14"/>
      <c r="I34" s="14"/>
      <c r="J34" s="14"/>
      <c r="K34" s="14"/>
      <c r="L34" s="14"/>
      <c r="M34" s="14">
        <v>30888</v>
      </c>
    </row>
    <row r="41" spans="1:13" ht="16.8" x14ac:dyDescent="0.3">
      <c r="A41" s="38" t="s">
        <v>572</v>
      </c>
      <c r="B41" s="39"/>
      <c r="C41" s="39"/>
      <c r="D41" s="39"/>
      <c r="F41" s="27"/>
      <c r="G41" s="27"/>
    </row>
    <row r="42" spans="1:13" ht="15" thickBot="1" x14ac:dyDescent="0.35">
      <c r="A42" s="39"/>
      <c r="B42" s="39"/>
      <c r="C42" s="39"/>
      <c r="D42" s="39"/>
      <c r="E42" s="25"/>
      <c r="F42" s="27"/>
      <c r="G42" s="27"/>
    </row>
    <row r="43" spans="1:13" ht="28.2" thickBot="1" x14ac:dyDescent="0.35">
      <c r="A43" s="301" t="s">
        <v>573</v>
      </c>
      <c r="B43" s="302" t="s">
        <v>574</v>
      </c>
      <c r="C43" s="302" t="s">
        <v>575</v>
      </c>
      <c r="D43" s="303" t="s">
        <v>576</v>
      </c>
      <c r="E43" s="27"/>
      <c r="F43" s="27"/>
      <c r="G43" s="27"/>
    </row>
    <row r="44" spans="1:13" x14ac:dyDescent="0.3">
      <c r="A44" s="304" t="s">
        <v>577</v>
      </c>
      <c r="B44" s="305" t="s">
        <v>578</v>
      </c>
      <c r="C44" s="306">
        <v>1</v>
      </c>
      <c r="D44" s="307" t="s">
        <v>579</v>
      </c>
      <c r="E44" s="27"/>
      <c r="F44" s="27"/>
      <c r="G44" s="27"/>
    </row>
    <row r="45" spans="1:13" x14ac:dyDescent="0.3">
      <c r="A45" s="308" t="s">
        <v>580</v>
      </c>
      <c r="B45" s="309" t="s">
        <v>578</v>
      </c>
      <c r="C45" s="310">
        <v>0.60250000000000004</v>
      </c>
      <c r="D45" s="311" t="s">
        <v>581</v>
      </c>
      <c r="E45" s="27"/>
      <c r="F45" s="27"/>
      <c r="G45" s="27"/>
    </row>
    <row r="46" spans="1:13" x14ac:dyDescent="0.3">
      <c r="A46" s="308" t="s">
        <v>582</v>
      </c>
      <c r="B46" s="312" t="s">
        <v>578</v>
      </c>
      <c r="C46" s="40">
        <v>0.60250000000000004</v>
      </c>
      <c r="D46" s="311" t="s">
        <v>581</v>
      </c>
      <c r="E46" s="27"/>
      <c r="F46" s="27"/>
      <c r="G46" s="27"/>
    </row>
    <row r="47" spans="1:13" ht="15" thickBot="1" x14ac:dyDescent="0.35">
      <c r="A47" s="313" t="s">
        <v>582</v>
      </c>
      <c r="B47" s="314" t="s">
        <v>578</v>
      </c>
      <c r="C47" s="315">
        <v>0.75309999999999999</v>
      </c>
      <c r="D47" s="316" t="s">
        <v>583</v>
      </c>
      <c r="E47" s="27"/>
    </row>
    <row r="48" spans="1:13" ht="15" thickBot="1" x14ac:dyDescent="0.35">
      <c r="A48" s="317"/>
      <c r="B48" s="318" t="s">
        <v>584</v>
      </c>
      <c r="C48" s="319">
        <f>SUM(C44:C47)</f>
        <v>2.9581</v>
      </c>
      <c r="D48" s="320"/>
      <c r="E48" s="27"/>
      <c r="F48" s="27"/>
      <c r="G48" s="27"/>
    </row>
    <row r="49" spans="1:7" x14ac:dyDescent="0.3">
      <c r="A49" s="39"/>
      <c r="B49" s="39"/>
      <c r="C49" s="39"/>
      <c r="D49" s="39"/>
      <c r="E49" s="27"/>
      <c r="F49" s="31"/>
      <c r="G49" s="27"/>
    </row>
    <row r="50" spans="1:7" x14ac:dyDescent="0.3">
      <c r="A50" s="39"/>
      <c r="B50" s="39"/>
      <c r="C50" s="39"/>
      <c r="D50" s="39"/>
      <c r="E50" s="27"/>
      <c r="F50" s="31"/>
      <c r="G50" s="31"/>
    </row>
    <row r="51" spans="1:7" ht="16.8" x14ac:dyDescent="0.3">
      <c r="A51" s="38" t="s">
        <v>585</v>
      </c>
      <c r="B51" s="39"/>
      <c r="C51" s="39"/>
      <c r="D51" s="39"/>
      <c r="F51" s="31"/>
      <c r="G51" s="31"/>
    </row>
    <row r="52" spans="1:7" ht="16.8" x14ac:dyDescent="0.3">
      <c r="A52" s="38"/>
      <c r="B52" s="39"/>
      <c r="C52" s="39"/>
      <c r="D52" s="39"/>
      <c r="F52" s="31"/>
      <c r="G52" s="31"/>
    </row>
    <row r="53" spans="1:7" ht="16.8" x14ac:dyDescent="0.3">
      <c r="A53" s="38" t="s">
        <v>1331</v>
      </c>
      <c r="B53" s="39"/>
      <c r="C53" s="39"/>
      <c r="D53" s="39"/>
    </row>
    <row r="54" spans="1:7" ht="15" thickBot="1" x14ac:dyDescent="0.35">
      <c r="A54" s="39"/>
      <c r="B54" s="39"/>
      <c r="C54" s="39"/>
      <c r="D54" s="39"/>
    </row>
    <row r="55" spans="1:7" ht="15" thickBot="1" x14ac:dyDescent="0.35">
      <c r="A55" s="676" t="s">
        <v>1232</v>
      </c>
      <c r="B55" s="652"/>
      <c r="C55" s="652"/>
      <c r="D55" s="677">
        <v>44835</v>
      </c>
      <c r="E55" s="678">
        <v>44866</v>
      </c>
      <c r="F55" s="949" t="s">
        <v>1233</v>
      </c>
      <c r="G55" s="679" t="s">
        <v>1234</v>
      </c>
    </row>
    <row r="56" spans="1:7" x14ac:dyDescent="0.3">
      <c r="A56" s="680" t="s">
        <v>578</v>
      </c>
      <c r="B56" s="681" t="s">
        <v>1235</v>
      </c>
      <c r="C56" s="682" t="s">
        <v>1236</v>
      </c>
      <c r="D56" s="683">
        <v>3826.89</v>
      </c>
      <c r="E56" s="684">
        <v>5944.17</v>
      </c>
      <c r="F56" s="950">
        <v>3934.5239999999999</v>
      </c>
      <c r="G56" s="685">
        <f>D56+E56+F56</f>
        <v>13705.583999999999</v>
      </c>
    </row>
    <row r="57" spans="1:7" x14ac:dyDescent="0.3">
      <c r="A57" s="680" t="s">
        <v>578</v>
      </c>
      <c r="B57" s="682" t="s">
        <v>1237</v>
      </c>
      <c r="C57" s="681" t="s">
        <v>1238</v>
      </c>
      <c r="D57" s="683">
        <v>4749.84</v>
      </c>
      <c r="E57" s="686">
        <v>8410.02</v>
      </c>
      <c r="F57" s="951">
        <v>4883.29</v>
      </c>
      <c r="G57" s="686">
        <f>D57+E57+F57</f>
        <v>18043.150000000001</v>
      </c>
    </row>
    <row r="58" spans="1:7" x14ac:dyDescent="0.3">
      <c r="A58" s="680" t="s">
        <v>578</v>
      </c>
      <c r="B58" s="681" t="s">
        <v>1239</v>
      </c>
      <c r="C58" s="681" t="s">
        <v>1240</v>
      </c>
      <c r="D58" s="683">
        <v>4761.57</v>
      </c>
      <c r="E58" s="686">
        <v>8256.76</v>
      </c>
      <c r="F58" s="951">
        <v>4894.5200000000004</v>
      </c>
      <c r="G58" s="686">
        <f>D58+E58+F58</f>
        <v>17912.849999999999</v>
      </c>
    </row>
    <row r="59" spans="1:7" x14ac:dyDescent="0.3">
      <c r="A59" s="687" t="s">
        <v>578</v>
      </c>
      <c r="B59" s="688" t="s">
        <v>1241</v>
      </c>
      <c r="C59" s="688" t="s">
        <v>1240</v>
      </c>
      <c r="D59" s="683">
        <v>3202.05</v>
      </c>
      <c r="E59" s="686">
        <v>3653.32</v>
      </c>
      <c r="F59" s="951">
        <v>3292.24</v>
      </c>
      <c r="G59" s="686">
        <f>D59+E59+F59</f>
        <v>10147.61</v>
      </c>
    </row>
    <row r="60" spans="1:7" ht="15" thickBot="1" x14ac:dyDescent="0.35">
      <c r="A60" s="689" t="s">
        <v>592</v>
      </c>
      <c r="B60" s="690"/>
      <c r="C60" s="690"/>
      <c r="D60" s="691">
        <f>SUM(D56:D59)</f>
        <v>16540.349999999999</v>
      </c>
      <c r="E60" s="692">
        <f>SUM(E56:E59)</f>
        <v>26264.27</v>
      </c>
      <c r="F60" s="952">
        <f>SUM(F56:F59)</f>
        <v>17004.574000000001</v>
      </c>
      <c r="G60" s="692">
        <f>SUM(G56:G59)</f>
        <v>59809.194000000003</v>
      </c>
    </row>
    <row r="61" spans="1:7" ht="15" thickBot="1" x14ac:dyDescent="0.35">
      <c r="A61" s="693" t="s">
        <v>1242</v>
      </c>
      <c r="B61" s="694"/>
      <c r="C61" s="694"/>
      <c r="D61" s="695">
        <f>D60+E60+F60</f>
        <v>59809.193999999996</v>
      </c>
      <c r="E61" s="696"/>
      <c r="F61" s="696"/>
    </row>
    <row r="62" spans="1:7" ht="15" thickBot="1" x14ac:dyDescent="0.35">
      <c r="D62" s="696"/>
      <c r="E62" s="696"/>
      <c r="F62" s="696"/>
    </row>
    <row r="63" spans="1:7" ht="16.8" x14ac:dyDescent="0.3">
      <c r="A63" s="958" t="s">
        <v>1331</v>
      </c>
      <c r="B63" s="959"/>
      <c r="C63" s="959"/>
      <c r="D63" s="960" t="s">
        <v>1243</v>
      </c>
      <c r="E63" s="960" t="s">
        <v>1332</v>
      </c>
      <c r="F63" s="953" t="s">
        <v>1333</v>
      </c>
      <c r="G63" s="697"/>
    </row>
    <row r="64" spans="1:7" x14ac:dyDescent="0.3">
      <c r="A64" s="680" t="s">
        <v>578</v>
      </c>
      <c r="B64" s="681" t="s">
        <v>1235</v>
      </c>
      <c r="C64" s="681" t="s">
        <v>1236</v>
      </c>
      <c r="D64" s="683">
        <f>9*F56</f>
        <v>35410.716</v>
      </c>
      <c r="E64" s="683">
        <f>12*(F56*1.1)</f>
        <v>51935.716800000009</v>
      </c>
      <c r="F64" s="125" t="s">
        <v>1334</v>
      </c>
      <c r="G64" s="698"/>
    </row>
    <row r="65" spans="1:7" x14ac:dyDescent="0.3">
      <c r="A65" s="680" t="s">
        <v>578</v>
      </c>
      <c r="B65" s="681" t="s">
        <v>1237</v>
      </c>
      <c r="C65" s="681" t="s">
        <v>1238</v>
      </c>
      <c r="D65" s="683">
        <f>9*F57</f>
        <v>43949.61</v>
      </c>
      <c r="E65" s="683">
        <f>12*(F57*1.1)</f>
        <v>64459.428000000007</v>
      </c>
      <c r="F65" s="14"/>
      <c r="G65" s="697"/>
    </row>
    <row r="66" spans="1:7" x14ac:dyDescent="0.3">
      <c r="A66" s="680" t="s">
        <v>578</v>
      </c>
      <c r="B66" s="681" t="s">
        <v>1239</v>
      </c>
      <c r="C66" s="681" t="s">
        <v>1240</v>
      </c>
      <c r="D66" s="683">
        <f>9*F58</f>
        <v>44050.680000000008</v>
      </c>
      <c r="E66" s="683">
        <f>12*(F58*1.1)</f>
        <v>64607.664000000004</v>
      </c>
      <c r="F66" s="14"/>
    </row>
    <row r="67" spans="1:7" x14ac:dyDescent="0.3">
      <c r="A67" s="680" t="s">
        <v>578</v>
      </c>
      <c r="B67" s="681" t="s">
        <v>1241</v>
      </c>
      <c r="C67" s="681" t="s">
        <v>1240</v>
      </c>
      <c r="D67" s="683">
        <f>9*F59</f>
        <v>29630.159999999996</v>
      </c>
      <c r="E67" s="683">
        <f>12*(F59*1.1)</f>
        <v>43457.567999999999</v>
      </c>
      <c r="F67" s="14"/>
    </row>
    <row r="68" spans="1:7" x14ac:dyDescent="0.3">
      <c r="A68" s="954"/>
      <c r="B68" s="955"/>
      <c r="C68" s="955"/>
      <c r="D68" s="956"/>
      <c r="E68" s="957"/>
      <c r="F68" s="962" t="s">
        <v>1336</v>
      </c>
    </row>
    <row r="69" spans="1:7" ht="15" thickBot="1" x14ac:dyDescent="0.35">
      <c r="A69" s="689" t="s">
        <v>592</v>
      </c>
      <c r="B69" s="690"/>
      <c r="C69" s="690"/>
      <c r="D69" s="691">
        <f>SUM(D64:D67)</f>
        <v>153041.166</v>
      </c>
      <c r="E69" s="691">
        <f>SUM(E64:E68)</f>
        <v>224460.3768</v>
      </c>
      <c r="F69" s="963" t="s">
        <v>1338</v>
      </c>
    </row>
    <row r="70" spans="1:7" x14ac:dyDescent="0.3">
      <c r="A70" s="651"/>
      <c r="B70" s="652"/>
      <c r="C70" s="699"/>
      <c r="D70" s="700"/>
      <c r="E70" s="700"/>
      <c r="F70" s="696"/>
    </row>
    <row r="71" spans="1:7" ht="15" thickBot="1" x14ac:dyDescent="0.35">
      <c r="A71" s="701" t="s">
        <v>1337</v>
      </c>
      <c r="B71" s="650"/>
      <c r="C71" s="702"/>
      <c r="D71" s="703">
        <f>D61+D69</f>
        <v>212850.36</v>
      </c>
      <c r="E71" s="961">
        <f>E61+E69</f>
        <v>224460.3768</v>
      </c>
      <c r="F71" s="696"/>
    </row>
    <row r="72" spans="1:7" x14ac:dyDescent="0.3">
      <c r="D72" s="696"/>
      <c r="E72" s="696"/>
      <c r="F72" s="696"/>
    </row>
    <row r="73" spans="1:7" x14ac:dyDescent="0.3">
      <c r="A73" t="s">
        <v>568</v>
      </c>
      <c r="D73" s="696">
        <v>457.09</v>
      </c>
      <c r="E73" s="696">
        <v>457.09</v>
      </c>
      <c r="F73" s="696"/>
    </row>
    <row r="74" spans="1:7" x14ac:dyDescent="0.3">
      <c r="D74" s="696"/>
      <c r="E74" s="696"/>
      <c r="F74" s="696"/>
    </row>
    <row r="75" spans="1:7" ht="15" thickBot="1" x14ac:dyDescent="0.35">
      <c r="A75" s="6" t="s">
        <v>607</v>
      </c>
      <c r="B75" s="6"/>
      <c r="C75" s="6"/>
      <c r="D75" s="704">
        <f>D71+D73</f>
        <v>213307.44999999998</v>
      </c>
      <c r="E75" s="704">
        <f>E71+E73</f>
        <v>224917.46679999999</v>
      </c>
    </row>
    <row r="76" spans="1:7" ht="17.399999999999999" thickTop="1" x14ac:dyDescent="0.3">
      <c r="A76" s="38"/>
      <c r="B76" s="39"/>
      <c r="C76" s="39"/>
      <c r="D76" s="39"/>
      <c r="F76" s="31"/>
      <c r="G76" s="31"/>
    </row>
    <row r="77" spans="1:7" ht="15" thickBot="1" x14ac:dyDescent="0.35">
      <c r="A77" s="24"/>
      <c r="B77" s="24"/>
      <c r="C77" s="29"/>
      <c r="D77" s="30"/>
      <c r="E77" s="24"/>
    </row>
    <row r="78" spans="1:7" x14ac:dyDescent="0.3">
      <c r="A78" s="321" t="s">
        <v>1</v>
      </c>
      <c r="B78" s="322"/>
      <c r="C78" s="322"/>
      <c r="D78" s="1070" t="s">
        <v>1330</v>
      </c>
      <c r="E78" s="705" t="s">
        <v>531</v>
      </c>
      <c r="F78" s="323" t="s">
        <v>530</v>
      </c>
      <c r="G78" s="24"/>
    </row>
    <row r="79" spans="1:7" x14ac:dyDescent="0.3">
      <c r="A79" s="44" t="s">
        <v>586</v>
      </c>
      <c r="B79" s="324" t="s">
        <v>587</v>
      </c>
      <c r="C79" s="324"/>
      <c r="D79" s="1071">
        <v>118000</v>
      </c>
      <c r="E79" s="41">
        <v>102000</v>
      </c>
      <c r="F79" s="41">
        <v>92500</v>
      </c>
      <c r="G79" s="24"/>
    </row>
    <row r="80" spans="1:7" x14ac:dyDescent="0.3">
      <c r="A80" s="44" t="s">
        <v>169</v>
      </c>
      <c r="B80" s="324" t="s">
        <v>588</v>
      </c>
      <c r="C80" s="324"/>
      <c r="D80" s="1071">
        <v>26000</v>
      </c>
      <c r="E80" s="42">
        <v>28000</v>
      </c>
      <c r="F80" s="42">
        <v>26000</v>
      </c>
    </row>
    <row r="81" spans="1:6" x14ac:dyDescent="0.3">
      <c r="A81" s="44" t="s">
        <v>589</v>
      </c>
      <c r="B81" s="324" t="s">
        <v>590</v>
      </c>
      <c r="C81" s="324"/>
      <c r="D81" s="1071">
        <v>77000</v>
      </c>
      <c r="E81" s="42">
        <v>75000</v>
      </c>
      <c r="F81" s="42">
        <v>73000</v>
      </c>
    </row>
    <row r="82" spans="1:6" ht="15" thickBot="1" x14ac:dyDescent="0.35">
      <c r="A82" s="325" t="s">
        <v>174</v>
      </c>
      <c r="B82" s="326" t="s">
        <v>591</v>
      </c>
      <c r="C82" s="326"/>
      <c r="D82" s="1072">
        <v>15000</v>
      </c>
      <c r="E82" s="327">
        <v>15000</v>
      </c>
      <c r="F82" s="327">
        <v>14500</v>
      </c>
    </row>
    <row r="83" spans="1:6" ht="15" thickBot="1" x14ac:dyDescent="0.35">
      <c r="A83" s="248" t="s">
        <v>1244</v>
      </c>
      <c r="B83" s="249"/>
      <c r="C83" s="249"/>
      <c r="D83" s="1073">
        <f>SUM(D79:D82)</f>
        <v>236000</v>
      </c>
      <c r="E83" s="43">
        <f>SUM(E79:E82)</f>
        <v>220000</v>
      </c>
      <c r="F83" s="43">
        <f>SUM(F79:F82)</f>
        <v>206000</v>
      </c>
    </row>
    <row r="84" spans="1:6" x14ac:dyDescent="0.3">
      <c r="A84" s="24"/>
      <c r="B84" s="24"/>
      <c r="C84" s="29"/>
    </row>
    <row r="85" spans="1:6" x14ac:dyDescent="0.3">
      <c r="A85" s="24"/>
      <c r="B85" s="24"/>
      <c r="C85" s="29"/>
      <c r="D85" s="706">
        <f>D83-E85</f>
        <v>-283.80999999999767</v>
      </c>
      <c r="E85">
        <v>236283.81</v>
      </c>
    </row>
  </sheetData>
  <phoneticPr fontId="79" type="noConversion"/>
  <hyperlinks>
    <hyperlink ref="H6" location="AStA_Referate" display="AStA_Referate" xr:uid="{00000000-0004-0000-0200-000000000000}"/>
    <hyperlink ref="I6" location="Bundesknappschaft" display="Bundesknappschaft" xr:uid="{00000000-0004-0000-0200-000001000000}"/>
    <hyperlink ref="J6" location="AStA_SKP" display="AStA_SKP" xr:uid="{00000000-0004-0000-0200-000002000000}"/>
    <hyperlink ref="K6" location="AStA_VBG" display="AStA_VBG" xr:uid="{00000000-0004-0000-0200-000003000000}"/>
    <hyperlink ref="N6" location="AStA_Referate" display="AStA_Referate" xr:uid="{00000000-0004-0000-0200-000004000000}"/>
    <hyperlink ref="O6" location="Bundesknappschaft" display="Bundesknappschaft" xr:uid="{00000000-0004-0000-0200-000005000000}"/>
    <hyperlink ref="P6" location="AStA_SKP" display="AStA_SKP" xr:uid="{00000000-0004-0000-0200-000006000000}"/>
    <hyperlink ref="Q6" location="AStA_VBG" display="AStA_VBG" xr:uid="{00000000-0004-0000-0200-000007000000}"/>
    <hyperlink ref="T6" location="AStA_Referate" display="AStA_Referate" xr:uid="{00000000-0004-0000-0200-000008000000}"/>
    <hyperlink ref="U6" location="Bundesknappschaft" display="Bundesknappschaft" xr:uid="{00000000-0004-0000-0200-000009000000}"/>
    <hyperlink ref="V6" location="AStA_SKP" display="AStA_SKP" xr:uid="{00000000-0004-0000-0200-00000A000000}"/>
    <hyperlink ref="W6" location="AStA_VBG" display="AStA_VBG" xr:uid="{00000000-0004-0000-0200-00000B000000}"/>
    <hyperlink ref="B6" location="AStA_Referate" display="AStA_Referate" xr:uid="{00000000-0004-0000-0200-00000C000000}"/>
    <hyperlink ref="C6" location="Bundesknappschaft" display="Bundesknappschaft" xr:uid="{00000000-0004-0000-0200-00000D000000}"/>
    <hyperlink ref="D6" location="AStA_SKP" display="AStA_SKP" xr:uid="{00000000-0004-0000-0200-00000E000000}"/>
    <hyperlink ref="E6" location="AStA_VBG" display="AStA_VBG" xr:uid="{00000000-0004-0000-0200-00000F000000}"/>
  </hyperlinks>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T38"/>
  <sheetViews>
    <sheetView zoomScaleNormal="100" workbookViewId="0">
      <selection activeCell="G8" sqref="G8"/>
    </sheetView>
  </sheetViews>
  <sheetFormatPr baseColWidth="10" defaultColWidth="11.44140625" defaultRowHeight="14.4" outlineLevelRow="1" x14ac:dyDescent="0.3"/>
  <cols>
    <col min="3" max="3" width="24.77734375" customWidth="1"/>
    <col min="4" max="4" width="34.77734375" customWidth="1"/>
    <col min="7" max="7" width="13.77734375" customWidth="1"/>
    <col min="8" max="8" width="17.44140625" customWidth="1"/>
    <col min="9" max="9" width="20" customWidth="1"/>
    <col min="10" max="10" width="25.44140625" customWidth="1"/>
    <col min="14" max="14" width="28.44140625" style="216" customWidth="1"/>
    <col min="15" max="15" width="27.6640625" style="216" customWidth="1"/>
    <col min="17" max="17" width="11.44140625" customWidth="1"/>
    <col min="19" max="19" width="28.44140625" style="216" customWidth="1"/>
    <col min="20" max="20" width="27.6640625" style="216" customWidth="1"/>
  </cols>
  <sheetData>
    <row r="1" spans="1:20" ht="15.6" x14ac:dyDescent="0.3">
      <c r="A1" s="7" t="s">
        <v>1545</v>
      </c>
      <c r="C1" s="216"/>
      <c r="D1" s="216"/>
      <c r="G1" s="7" t="s">
        <v>1342</v>
      </c>
      <c r="I1" s="216"/>
      <c r="J1" s="216"/>
      <c r="L1" s="7" t="s">
        <v>621</v>
      </c>
      <c r="Q1" s="7" t="s">
        <v>622</v>
      </c>
    </row>
    <row r="2" spans="1:20" x14ac:dyDescent="0.3">
      <c r="C2" s="216"/>
      <c r="D2" s="216"/>
      <c r="I2" s="216"/>
      <c r="J2" s="216"/>
    </row>
    <row r="3" spans="1:20" x14ac:dyDescent="0.3">
      <c r="A3" s="6" t="s">
        <v>623</v>
      </c>
      <c r="C3" s="216"/>
      <c r="D3" s="216"/>
      <c r="G3" s="6" t="s">
        <v>623</v>
      </c>
      <c r="I3" s="216"/>
      <c r="J3" s="216"/>
      <c r="L3" s="6" t="s">
        <v>623</v>
      </c>
      <c r="Q3" s="6" t="s">
        <v>623</v>
      </c>
    </row>
    <row r="4" spans="1:20" x14ac:dyDescent="0.3">
      <c r="A4" s="46" t="s">
        <v>10</v>
      </c>
      <c r="B4" s="47" t="s">
        <v>624</v>
      </c>
      <c r="C4" s="222" t="s">
        <v>625</v>
      </c>
      <c r="D4" s="217" t="s">
        <v>626</v>
      </c>
      <c r="G4" s="46" t="s">
        <v>10</v>
      </c>
      <c r="H4" s="47" t="s">
        <v>624</v>
      </c>
      <c r="I4" s="222" t="s">
        <v>625</v>
      </c>
      <c r="J4" s="217" t="s">
        <v>626</v>
      </c>
      <c r="L4" s="46" t="s">
        <v>10</v>
      </c>
      <c r="M4" s="47" t="s">
        <v>624</v>
      </c>
      <c r="N4" s="222" t="s">
        <v>625</v>
      </c>
      <c r="O4" s="217" t="s">
        <v>626</v>
      </c>
      <c r="Q4" s="46" t="s">
        <v>10</v>
      </c>
      <c r="R4" s="47" t="s">
        <v>624</v>
      </c>
      <c r="S4" s="222" t="s">
        <v>625</v>
      </c>
      <c r="T4" s="217" t="s">
        <v>626</v>
      </c>
    </row>
    <row r="5" spans="1:20" ht="28.8" outlineLevel="1" x14ac:dyDescent="0.3">
      <c r="A5" s="330">
        <v>1</v>
      </c>
      <c r="B5" s="293">
        <v>5000</v>
      </c>
      <c r="C5" s="242" t="s">
        <v>1540</v>
      </c>
      <c r="D5" s="331" t="s">
        <v>1542</v>
      </c>
      <c r="G5" s="330"/>
      <c r="H5" s="293"/>
      <c r="I5" s="242"/>
      <c r="J5" s="331"/>
      <c r="L5" s="330">
        <v>1</v>
      </c>
      <c r="M5" s="293">
        <v>1500</v>
      </c>
      <c r="N5" s="242" t="s">
        <v>627</v>
      </c>
      <c r="O5" s="331" t="s">
        <v>628</v>
      </c>
      <c r="Q5" s="330">
        <v>1</v>
      </c>
      <c r="R5" s="293">
        <v>0</v>
      </c>
      <c r="S5" s="242"/>
      <c r="T5" s="331"/>
    </row>
    <row r="6" spans="1:20" ht="28.8" outlineLevel="1" x14ac:dyDescent="0.3">
      <c r="A6" s="330">
        <v>2</v>
      </c>
      <c r="B6" s="293">
        <v>5000</v>
      </c>
      <c r="C6" s="242" t="s">
        <v>1541</v>
      </c>
      <c r="D6" s="331" t="s">
        <v>1542</v>
      </c>
      <c r="G6" s="330"/>
      <c r="H6" s="293"/>
      <c r="I6" s="242"/>
      <c r="J6" s="331"/>
      <c r="L6" s="330">
        <v>2</v>
      </c>
      <c r="M6" s="293">
        <v>4500</v>
      </c>
      <c r="N6" s="242" t="s">
        <v>629</v>
      </c>
      <c r="O6" s="331" t="s">
        <v>630</v>
      </c>
      <c r="Q6" s="330">
        <v>2</v>
      </c>
      <c r="R6" s="293">
        <v>0</v>
      </c>
      <c r="S6" s="242"/>
      <c r="T6" s="331"/>
    </row>
    <row r="7" spans="1:20" ht="28.8" outlineLevel="1" x14ac:dyDescent="0.3">
      <c r="A7" s="48"/>
      <c r="B7" s="293"/>
      <c r="C7" s="242"/>
      <c r="D7" s="331"/>
      <c r="G7" s="48">
        <v>1</v>
      </c>
      <c r="H7" s="293">
        <v>7000</v>
      </c>
      <c r="I7" s="242" t="s">
        <v>1541</v>
      </c>
      <c r="J7" s="331" t="s">
        <v>1546</v>
      </c>
      <c r="L7" s="48"/>
      <c r="M7" s="293"/>
      <c r="N7" s="242"/>
      <c r="O7" s="331"/>
      <c r="Q7" s="48"/>
      <c r="R7" s="293"/>
      <c r="S7" s="242"/>
      <c r="T7" s="331"/>
    </row>
    <row r="8" spans="1:20" outlineLevel="1" x14ac:dyDescent="0.3">
      <c r="A8" s="48"/>
      <c r="B8" s="293"/>
      <c r="C8" s="242"/>
      <c r="D8" s="331"/>
      <c r="G8" s="48"/>
      <c r="H8" s="293"/>
      <c r="I8" s="242"/>
      <c r="J8" s="331"/>
      <c r="L8" s="48"/>
      <c r="M8" s="293"/>
      <c r="N8" s="242"/>
      <c r="O8" s="331"/>
      <c r="Q8" s="48"/>
      <c r="R8" s="293"/>
      <c r="S8" s="242"/>
      <c r="T8" s="331"/>
    </row>
    <row r="9" spans="1:20" outlineLevel="1" x14ac:dyDescent="0.3">
      <c r="A9" s="48" t="s">
        <v>631</v>
      </c>
      <c r="B9" s="293">
        <v>5000</v>
      </c>
      <c r="C9" s="242"/>
      <c r="D9" s="331"/>
      <c r="G9" s="48" t="s">
        <v>631</v>
      </c>
      <c r="H9" s="293">
        <v>1000</v>
      </c>
      <c r="I9" s="242"/>
      <c r="J9" s="331"/>
      <c r="L9" s="48" t="s">
        <v>631</v>
      </c>
      <c r="M9" s="293">
        <v>1000</v>
      </c>
      <c r="N9" s="242"/>
      <c r="O9" s="331"/>
      <c r="Q9" s="48" t="s">
        <v>631</v>
      </c>
      <c r="R9" s="293">
        <v>700</v>
      </c>
      <c r="S9" s="242"/>
      <c r="T9" s="331"/>
    </row>
    <row r="10" spans="1:20" x14ac:dyDescent="0.3">
      <c r="A10" s="145" t="s">
        <v>607</v>
      </c>
      <c r="B10" s="294">
        <f>SUBTOTAL(109,Tabelle28531972[Betrag])</f>
        <v>15000</v>
      </c>
      <c r="C10" s="245"/>
      <c r="D10" s="224">
        <f>SUBTOTAL(103,Tabelle28531972[Begründung])</f>
        <v>2</v>
      </c>
      <c r="G10" s="145" t="s">
        <v>607</v>
      </c>
      <c r="H10" s="294">
        <f>SUBTOTAL(109,Tabelle285319[Betrag])</f>
        <v>8000</v>
      </c>
      <c r="I10" s="245"/>
      <c r="J10" s="224">
        <f>SUBTOTAL(103,Tabelle285319[Begründung])</f>
        <v>1</v>
      </c>
      <c r="L10" s="145" t="s">
        <v>607</v>
      </c>
      <c r="M10" s="294">
        <f>SUBTOTAL(109,Tabelle2853[Betrag])</f>
        <v>7000</v>
      </c>
      <c r="N10" s="245"/>
      <c r="O10" s="224">
        <f>SUBTOTAL(103,Tabelle2853[Begründung])</f>
        <v>2</v>
      </c>
      <c r="Q10" s="145" t="s">
        <v>607</v>
      </c>
      <c r="R10" s="294">
        <f>SUBTOTAL(109,Tabelle28[Betrag])</f>
        <v>700</v>
      </c>
      <c r="S10" s="245"/>
      <c r="T10" s="224">
        <f>SUBTOTAL(103,Tabelle28[Begründung])</f>
        <v>0</v>
      </c>
    </row>
    <row r="11" spans="1:20" x14ac:dyDescent="0.3">
      <c r="C11" s="216"/>
      <c r="D11" s="216"/>
      <c r="I11" s="216"/>
      <c r="J11" s="216"/>
    </row>
    <row r="12" spans="1:20" x14ac:dyDescent="0.3">
      <c r="A12" s="6" t="s">
        <v>226</v>
      </c>
      <c r="C12" s="216"/>
      <c r="D12" s="216"/>
      <c r="G12" s="6" t="s">
        <v>226</v>
      </c>
      <c r="I12" s="216"/>
      <c r="J12" s="216"/>
      <c r="L12" s="6" t="s">
        <v>226</v>
      </c>
      <c r="Q12" s="6" t="s">
        <v>632</v>
      </c>
    </row>
    <row r="13" spans="1:20" outlineLevel="1" x14ac:dyDescent="0.3">
      <c r="A13" s="46" t="s">
        <v>10</v>
      </c>
      <c r="B13" s="47" t="s">
        <v>624</v>
      </c>
      <c r="C13" s="222" t="s">
        <v>625</v>
      </c>
      <c r="D13" s="217" t="s">
        <v>626</v>
      </c>
      <c r="G13" s="46" t="s">
        <v>10</v>
      </c>
      <c r="H13" s="47" t="s">
        <v>624</v>
      </c>
      <c r="I13" s="222" t="s">
        <v>625</v>
      </c>
      <c r="J13" s="217" t="s">
        <v>626</v>
      </c>
      <c r="L13" s="46" t="s">
        <v>10</v>
      </c>
      <c r="M13" s="47" t="s">
        <v>624</v>
      </c>
      <c r="N13" s="222" t="s">
        <v>625</v>
      </c>
      <c r="O13" s="217" t="s">
        <v>626</v>
      </c>
      <c r="Q13" s="46" t="s">
        <v>10</v>
      </c>
      <c r="R13" s="47" t="s">
        <v>624</v>
      </c>
      <c r="S13" s="222" t="s">
        <v>625</v>
      </c>
      <c r="T13" s="217" t="s">
        <v>626</v>
      </c>
    </row>
    <row r="14" spans="1:20" ht="62.25" customHeight="1" outlineLevel="1" x14ac:dyDescent="0.3">
      <c r="A14" s="330">
        <v>1</v>
      </c>
      <c r="B14" s="293">
        <v>2500</v>
      </c>
      <c r="C14" s="242" t="s">
        <v>633</v>
      </c>
      <c r="D14" s="331" t="s">
        <v>1343</v>
      </c>
      <c r="G14" s="330">
        <v>1</v>
      </c>
      <c r="H14" s="293">
        <v>2500</v>
      </c>
      <c r="I14" s="242" t="s">
        <v>633</v>
      </c>
      <c r="J14" s="331" t="s">
        <v>1343</v>
      </c>
      <c r="L14" s="330">
        <v>1</v>
      </c>
      <c r="M14" s="293">
        <v>2500</v>
      </c>
      <c r="N14" s="242" t="s">
        <v>633</v>
      </c>
      <c r="O14" s="331" t="s">
        <v>634</v>
      </c>
      <c r="Q14" s="330">
        <v>1</v>
      </c>
      <c r="R14" s="293">
        <v>0</v>
      </c>
      <c r="S14" s="242"/>
      <c r="T14" s="331"/>
    </row>
    <row r="15" spans="1:20" ht="60.75" customHeight="1" outlineLevel="1" x14ac:dyDescent="0.3">
      <c r="A15" s="330">
        <v>2</v>
      </c>
      <c r="B15" s="293">
        <v>2500</v>
      </c>
      <c r="C15" s="242" t="s">
        <v>635</v>
      </c>
      <c r="D15" s="331" t="s">
        <v>1343</v>
      </c>
      <c r="G15" s="330">
        <v>2</v>
      </c>
      <c r="H15" s="293">
        <v>2500</v>
      </c>
      <c r="I15" s="242" t="s">
        <v>635</v>
      </c>
      <c r="J15" s="331" t="s">
        <v>1343</v>
      </c>
      <c r="L15" s="330">
        <v>2</v>
      </c>
      <c r="M15" s="293">
        <v>2500</v>
      </c>
      <c r="N15" s="242" t="s">
        <v>635</v>
      </c>
      <c r="O15" s="331" t="s">
        <v>634</v>
      </c>
      <c r="Q15" s="330">
        <v>2</v>
      </c>
      <c r="R15" s="293">
        <v>0</v>
      </c>
      <c r="S15" s="242"/>
      <c r="T15" s="331"/>
    </row>
    <row r="16" spans="1:20" ht="39.75" customHeight="1" outlineLevel="1" x14ac:dyDescent="0.3">
      <c r="A16" s="48">
        <v>3</v>
      </c>
      <c r="B16" s="293">
        <v>5000</v>
      </c>
      <c r="C16" s="242" t="s">
        <v>1539</v>
      </c>
      <c r="D16" s="331"/>
      <c r="G16" s="48">
        <v>3</v>
      </c>
      <c r="H16" s="293"/>
      <c r="I16" s="242"/>
      <c r="J16" s="331"/>
      <c r="L16" s="48"/>
      <c r="M16" s="293"/>
      <c r="N16" s="242"/>
      <c r="O16" s="331"/>
      <c r="Q16" s="48"/>
      <c r="R16" s="293"/>
      <c r="S16" s="242"/>
      <c r="T16" s="331"/>
    </row>
    <row r="17" spans="1:20" outlineLevel="1" x14ac:dyDescent="0.3">
      <c r="A17" s="48"/>
      <c r="B17" s="293"/>
      <c r="C17" s="242"/>
      <c r="D17" s="331"/>
      <c r="G17" s="48"/>
      <c r="H17" s="293"/>
      <c r="I17" s="242"/>
      <c r="J17" s="331"/>
      <c r="L17" s="48"/>
      <c r="M17" s="293"/>
      <c r="N17" s="242"/>
      <c r="O17" s="331"/>
      <c r="Q17" s="48"/>
      <c r="R17" s="293"/>
      <c r="S17" s="242"/>
      <c r="T17" s="331"/>
    </row>
    <row r="18" spans="1:20" outlineLevel="1" x14ac:dyDescent="0.3">
      <c r="A18" s="48" t="s">
        <v>631</v>
      </c>
      <c r="B18" s="293">
        <v>2000</v>
      </c>
      <c r="C18" s="242"/>
      <c r="D18" s="331"/>
      <c r="G18" s="48" t="s">
        <v>631</v>
      </c>
      <c r="H18" s="293">
        <v>500</v>
      </c>
      <c r="I18" s="242"/>
      <c r="J18" s="331"/>
      <c r="L18" s="48" t="s">
        <v>631</v>
      </c>
      <c r="M18" s="293">
        <v>500</v>
      </c>
      <c r="N18" s="242"/>
      <c r="O18" s="331"/>
      <c r="Q18" s="48" t="s">
        <v>631</v>
      </c>
      <c r="R18" s="293">
        <v>500</v>
      </c>
      <c r="S18" s="242"/>
      <c r="T18" s="331"/>
    </row>
    <row r="19" spans="1:20" x14ac:dyDescent="0.3">
      <c r="A19" s="145" t="s">
        <v>607</v>
      </c>
      <c r="B19" s="969">
        <f>SUBTOTAL(109,Tabelle2521271[Betrag])</f>
        <v>12000</v>
      </c>
      <c r="C19" s="966"/>
      <c r="D19" s="968">
        <f>SUBTOTAL(103,Tabelle2521271[Begründung])</f>
        <v>2</v>
      </c>
      <c r="G19" s="145" t="s">
        <v>607</v>
      </c>
      <c r="H19" s="969">
        <f>SUBTOTAL(109,Tabelle25212[Betrag])</f>
        <v>5500</v>
      </c>
      <c r="I19" s="966"/>
      <c r="J19" s="968">
        <f>SUBTOTAL(103,Tabelle25212[Begründung])</f>
        <v>2</v>
      </c>
      <c r="L19" s="145" t="s">
        <v>607</v>
      </c>
      <c r="M19" s="294">
        <f>SUBTOTAL(109,Tabelle252[Betrag])</f>
        <v>5500</v>
      </c>
      <c r="N19" s="245"/>
      <c r="O19" s="224">
        <f>SUBTOTAL(103,Tabelle252[Begründung])</f>
        <v>2</v>
      </c>
      <c r="Q19" s="145" t="s">
        <v>607</v>
      </c>
      <c r="R19" s="294">
        <f>SUBTOTAL(109,Tabelle2[Betrag])</f>
        <v>500</v>
      </c>
      <c r="S19" s="245"/>
      <c r="T19" s="224">
        <f>SUBTOTAL(103,Tabelle2[Begründung])</f>
        <v>0</v>
      </c>
    </row>
    <row r="20" spans="1:20" x14ac:dyDescent="0.3">
      <c r="C20" s="216"/>
      <c r="D20" s="216"/>
      <c r="I20" s="216"/>
      <c r="J20" s="216"/>
    </row>
    <row r="21" spans="1:20" x14ac:dyDescent="0.3">
      <c r="A21" s="6" t="s">
        <v>229</v>
      </c>
      <c r="C21" s="216"/>
      <c r="D21" s="216"/>
      <c r="G21" s="6" t="s">
        <v>229</v>
      </c>
      <c r="I21" s="216"/>
      <c r="J21" s="216"/>
      <c r="L21" s="6" t="s">
        <v>229</v>
      </c>
      <c r="Q21" s="6" t="s">
        <v>229</v>
      </c>
    </row>
    <row r="22" spans="1:20" x14ac:dyDescent="0.3">
      <c r="A22" s="46" t="s">
        <v>10</v>
      </c>
      <c r="B22" s="47" t="s">
        <v>624</v>
      </c>
      <c r="C22" s="222" t="s">
        <v>625</v>
      </c>
      <c r="D22" s="217" t="s">
        <v>626</v>
      </c>
      <c r="G22" s="46" t="s">
        <v>10</v>
      </c>
      <c r="H22" s="47" t="s">
        <v>624</v>
      </c>
      <c r="I22" s="222" t="s">
        <v>625</v>
      </c>
      <c r="J22" s="217" t="s">
        <v>626</v>
      </c>
      <c r="L22" s="46" t="s">
        <v>10</v>
      </c>
      <c r="M22" s="47" t="s">
        <v>624</v>
      </c>
      <c r="N22" s="222" t="s">
        <v>625</v>
      </c>
      <c r="O22" s="217" t="s">
        <v>626</v>
      </c>
      <c r="Q22" s="46" t="s">
        <v>10</v>
      </c>
      <c r="R22" s="47" t="s">
        <v>624</v>
      </c>
      <c r="S22" s="222" t="s">
        <v>625</v>
      </c>
      <c r="T22" s="217" t="s">
        <v>626</v>
      </c>
    </row>
    <row r="23" spans="1:20" ht="29.25" customHeight="1" outlineLevel="1" x14ac:dyDescent="0.3">
      <c r="A23" s="330">
        <v>1</v>
      </c>
      <c r="B23" s="293">
        <v>500</v>
      </c>
      <c r="C23" s="242" t="s">
        <v>636</v>
      </c>
      <c r="D23" s="331" t="s">
        <v>1290</v>
      </c>
      <c r="G23" s="330">
        <v>1</v>
      </c>
      <c r="H23" s="293">
        <v>500</v>
      </c>
      <c r="I23" s="242" t="s">
        <v>636</v>
      </c>
      <c r="J23" s="331" t="s">
        <v>1290</v>
      </c>
      <c r="L23" s="330">
        <v>1</v>
      </c>
      <c r="M23" s="293">
        <v>500</v>
      </c>
      <c r="N23" s="242" t="s">
        <v>636</v>
      </c>
      <c r="O23" s="331" t="s">
        <v>1290</v>
      </c>
      <c r="Q23" s="330">
        <v>1</v>
      </c>
      <c r="R23" s="293">
        <v>500</v>
      </c>
      <c r="S23" s="242" t="s">
        <v>636</v>
      </c>
      <c r="T23" s="331"/>
    </row>
    <row r="24" spans="1:20" ht="28.8" outlineLevel="1" x14ac:dyDescent="0.3">
      <c r="A24" s="330">
        <v>2</v>
      </c>
      <c r="B24" s="293">
        <v>1500</v>
      </c>
      <c r="C24" s="242" t="s">
        <v>1543</v>
      </c>
      <c r="D24" s="331" t="s">
        <v>1544</v>
      </c>
      <c r="G24" s="330">
        <v>2</v>
      </c>
      <c r="H24" s="293"/>
      <c r="I24" s="242"/>
      <c r="J24" s="331"/>
      <c r="L24" s="330">
        <v>2</v>
      </c>
      <c r="M24" s="293"/>
      <c r="N24" s="242"/>
      <c r="O24" s="331"/>
      <c r="Q24" s="330">
        <v>2</v>
      </c>
      <c r="R24" s="293">
        <v>0</v>
      </c>
      <c r="S24" s="242"/>
      <c r="T24" s="331"/>
    </row>
    <row r="25" spans="1:20" outlineLevel="1" x14ac:dyDescent="0.3">
      <c r="A25" s="48"/>
      <c r="B25" s="293"/>
      <c r="C25" s="242"/>
      <c r="D25" s="331"/>
      <c r="G25" s="48"/>
      <c r="H25" s="293"/>
      <c r="I25" s="242"/>
      <c r="J25" s="331"/>
      <c r="L25" s="48"/>
      <c r="M25" s="293"/>
      <c r="N25" s="242"/>
      <c r="O25" s="331"/>
      <c r="Q25" s="48"/>
      <c r="R25" s="293"/>
      <c r="S25" s="242"/>
      <c r="T25" s="331"/>
    </row>
    <row r="26" spans="1:20" outlineLevel="1" x14ac:dyDescent="0.3">
      <c r="A26" s="48"/>
      <c r="B26" s="293"/>
      <c r="C26" s="242"/>
      <c r="D26" s="331"/>
      <c r="G26" s="48"/>
      <c r="H26" s="293"/>
      <c r="I26" s="242"/>
      <c r="J26" s="331"/>
      <c r="L26" s="48"/>
      <c r="M26" s="293"/>
      <c r="N26" s="242"/>
      <c r="O26" s="331"/>
      <c r="Q26" s="48"/>
      <c r="R26" s="293"/>
      <c r="S26" s="242"/>
      <c r="T26" s="331"/>
    </row>
    <row r="27" spans="1:20" outlineLevel="1" x14ac:dyDescent="0.3">
      <c r="A27" s="48" t="s">
        <v>631</v>
      </c>
      <c r="B27" s="293">
        <v>0</v>
      </c>
      <c r="C27" s="242"/>
      <c r="D27" s="331"/>
      <c r="G27" s="48" t="s">
        <v>631</v>
      </c>
      <c r="H27" s="293">
        <v>0</v>
      </c>
      <c r="I27" s="242"/>
      <c r="J27" s="331"/>
      <c r="L27" s="48" t="s">
        <v>631</v>
      </c>
      <c r="M27" s="293">
        <v>0</v>
      </c>
      <c r="N27" s="242"/>
      <c r="O27" s="331"/>
      <c r="Q27" s="48" t="s">
        <v>631</v>
      </c>
      <c r="R27" s="293">
        <v>0</v>
      </c>
      <c r="S27" s="242"/>
      <c r="T27" s="331"/>
    </row>
    <row r="28" spans="1:20" x14ac:dyDescent="0.3">
      <c r="A28" s="145" t="s">
        <v>607</v>
      </c>
      <c r="B28" s="294">
        <f>SUBTOTAL(109,Tabelle2111216563573[Betrag])</f>
        <v>2000</v>
      </c>
      <c r="C28" s="245"/>
      <c r="D28" s="224">
        <f>SUBTOTAL(103,Tabelle2111216563573[Begründung])</f>
        <v>2</v>
      </c>
      <c r="G28" s="145" t="s">
        <v>607</v>
      </c>
      <c r="H28" s="294">
        <f>SUBTOTAL(109,Tabelle21112165635[Betrag])</f>
        <v>500</v>
      </c>
      <c r="I28" s="245"/>
      <c r="J28" s="224">
        <f>SUBTOTAL(103,Tabelle21112165635[Begründung])</f>
        <v>1</v>
      </c>
      <c r="L28" s="145" t="s">
        <v>607</v>
      </c>
      <c r="M28" s="294">
        <f>SUBTOTAL(109,Tabelle211121656[Betrag])</f>
        <v>500</v>
      </c>
      <c r="N28" s="245"/>
      <c r="O28" s="224">
        <f>SUBTOTAL(103,Tabelle211121656[Begründung])</f>
        <v>1</v>
      </c>
      <c r="Q28" s="145" t="s">
        <v>607</v>
      </c>
      <c r="R28" s="294">
        <f>SUBTOTAL(109,Tabelle2111216[Betrag])</f>
        <v>500</v>
      </c>
      <c r="S28" s="245"/>
      <c r="T28" s="224">
        <f>SUBTOTAL(103,Tabelle2111216[Begründung])</f>
        <v>0</v>
      </c>
    </row>
    <row r="29" spans="1:20" x14ac:dyDescent="0.3">
      <c r="C29" s="216"/>
      <c r="D29" s="216"/>
      <c r="I29" s="216"/>
      <c r="J29" s="216"/>
    </row>
    <row r="30" spans="1:20" x14ac:dyDescent="0.3">
      <c r="C30" s="216"/>
      <c r="D30" s="216"/>
      <c r="I30" s="216"/>
      <c r="J30" s="216"/>
    </row>
    <row r="31" spans="1:20" x14ac:dyDescent="0.3">
      <c r="A31" s="6" t="s">
        <v>637</v>
      </c>
      <c r="C31" s="216"/>
      <c r="D31" s="216"/>
      <c r="G31" s="6" t="s">
        <v>637</v>
      </c>
      <c r="I31" s="216"/>
      <c r="J31" s="216"/>
      <c r="L31" s="6" t="s">
        <v>637</v>
      </c>
      <c r="Q31" s="6" t="s">
        <v>637</v>
      </c>
    </row>
    <row r="32" spans="1:20" x14ac:dyDescent="0.3">
      <c r="A32" s="46" t="s">
        <v>10</v>
      </c>
      <c r="B32" s="47" t="s">
        <v>624</v>
      </c>
      <c r="C32" s="222" t="s">
        <v>625</v>
      </c>
      <c r="D32" s="217" t="s">
        <v>626</v>
      </c>
      <c r="G32" s="46" t="s">
        <v>10</v>
      </c>
      <c r="H32" s="47" t="s">
        <v>624</v>
      </c>
      <c r="I32" s="222" t="s">
        <v>625</v>
      </c>
      <c r="J32" s="217" t="s">
        <v>626</v>
      </c>
      <c r="L32" s="46" t="s">
        <v>10</v>
      </c>
      <c r="M32" s="47" t="s">
        <v>624</v>
      </c>
      <c r="N32" s="222" t="s">
        <v>625</v>
      </c>
      <c r="O32" s="217" t="s">
        <v>626</v>
      </c>
      <c r="Q32" s="46" t="s">
        <v>10</v>
      </c>
      <c r="R32" s="47" t="s">
        <v>624</v>
      </c>
      <c r="S32" s="222" t="s">
        <v>625</v>
      </c>
      <c r="T32" s="217" t="s">
        <v>626</v>
      </c>
    </row>
    <row r="33" spans="1:20" ht="132" customHeight="1" x14ac:dyDescent="0.3">
      <c r="A33" s="330">
        <v>1</v>
      </c>
      <c r="B33" s="293">
        <v>50000</v>
      </c>
      <c r="C33" s="242" t="s">
        <v>638</v>
      </c>
      <c r="D33" s="331" t="s">
        <v>1291</v>
      </c>
      <c r="G33" s="330">
        <v>1</v>
      </c>
      <c r="H33" s="293">
        <v>45000</v>
      </c>
      <c r="I33" s="242" t="s">
        <v>638</v>
      </c>
      <c r="J33" s="331" t="s">
        <v>1291</v>
      </c>
      <c r="L33" s="330">
        <v>1</v>
      </c>
      <c r="M33" s="293">
        <v>45507.83</v>
      </c>
      <c r="N33" s="242" t="s">
        <v>638</v>
      </c>
      <c r="O33" s="331" t="s">
        <v>1291</v>
      </c>
      <c r="Q33" s="330">
        <v>1</v>
      </c>
      <c r="R33" s="293">
        <v>2000</v>
      </c>
      <c r="S33" s="242"/>
      <c r="T33" s="331"/>
    </row>
    <row r="34" spans="1:20" ht="28.8" x14ac:dyDescent="0.3">
      <c r="A34" s="48"/>
      <c r="B34" s="293"/>
      <c r="C34" s="242"/>
      <c r="D34" s="713"/>
      <c r="G34" s="48">
        <v>2</v>
      </c>
      <c r="H34" s="293">
        <v>155000</v>
      </c>
      <c r="I34" s="242"/>
      <c r="J34" s="713" t="s">
        <v>1344</v>
      </c>
      <c r="L34" s="48">
        <v>2</v>
      </c>
      <c r="M34" s="293">
        <v>8000</v>
      </c>
      <c r="N34" s="242" t="s">
        <v>639</v>
      </c>
      <c r="O34" s="713" t="s">
        <v>640</v>
      </c>
      <c r="Q34" s="330">
        <v>2</v>
      </c>
      <c r="R34" s="293">
        <v>3000</v>
      </c>
      <c r="S34" s="242"/>
      <c r="T34" s="331"/>
    </row>
    <row r="35" spans="1:20" ht="28.8" x14ac:dyDescent="0.3">
      <c r="A35" s="48">
        <v>3</v>
      </c>
      <c r="B35" s="293"/>
      <c r="C35" s="242"/>
      <c r="D35" s="331"/>
      <c r="G35" s="48">
        <v>3</v>
      </c>
      <c r="H35" s="293"/>
      <c r="I35" s="242"/>
      <c r="J35" s="331"/>
      <c r="L35" s="48">
        <v>3</v>
      </c>
      <c r="M35" s="293">
        <v>25000</v>
      </c>
      <c r="N35" s="242" t="s">
        <v>641</v>
      </c>
      <c r="O35" s="331" t="s">
        <v>1289</v>
      </c>
      <c r="Q35" s="48"/>
      <c r="R35" s="293"/>
      <c r="S35" s="242"/>
      <c r="T35" s="331"/>
    </row>
    <row r="36" spans="1:20" x14ac:dyDescent="0.3">
      <c r="A36" s="48" t="s">
        <v>631</v>
      </c>
      <c r="B36" s="293">
        <v>0</v>
      </c>
      <c r="C36" s="242"/>
      <c r="D36" s="331"/>
      <c r="G36" s="48" t="s">
        <v>631</v>
      </c>
      <c r="H36" s="293">
        <v>0</v>
      </c>
      <c r="I36" s="242"/>
      <c r="J36" s="331"/>
      <c r="L36" s="48" t="s">
        <v>631</v>
      </c>
      <c r="M36" s="293">
        <v>0</v>
      </c>
      <c r="N36" s="242"/>
      <c r="O36" s="331"/>
      <c r="Q36" s="48"/>
      <c r="R36" s="293"/>
      <c r="S36" s="242"/>
      <c r="T36" s="331"/>
    </row>
    <row r="37" spans="1:20" x14ac:dyDescent="0.3">
      <c r="A37" s="145" t="s">
        <v>607</v>
      </c>
      <c r="B37" s="294">
        <f>SUBTOTAL(109,Tabelle2111239573674[Betrag])</f>
        <v>50000</v>
      </c>
      <c r="C37" s="245"/>
      <c r="D37" s="224">
        <f>SUBTOTAL(103,Tabelle2111239573674[Begründung])</f>
        <v>1</v>
      </c>
      <c r="G37" s="145" t="s">
        <v>607</v>
      </c>
      <c r="H37" s="294">
        <f>SUBTOTAL(109,Tabelle21112395736[Betrag])</f>
        <v>200000</v>
      </c>
      <c r="I37" s="245"/>
      <c r="J37" s="224">
        <f>SUBTOTAL(103,Tabelle21112395736[Begründung])</f>
        <v>2</v>
      </c>
      <c r="L37" s="145" t="s">
        <v>607</v>
      </c>
      <c r="M37" s="294">
        <f>SUBTOTAL(109,Tabelle211123957[Betrag])</f>
        <v>78507.83</v>
      </c>
      <c r="N37" s="245"/>
      <c r="O37" s="224">
        <f>SUBTOTAL(103,Tabelle211123957[Begründung])</f>
        <v>3</v>
      </c>
      <c r="Q37" s="48" t="s">
        <v>631</v>
      </c>
      <c r="R37" s="293">
        <v>1000</v>
      </c>
      <c r="S37" s="242"/>
      <c r="T37" s="331"/>
    </row>
    <row r="38" spans="1:20" x14ac:dyDescent="0.3">
      <c r="Q38" s="145" t="s">
        <v>607</v>
      </c>
      <c r="R38" s="294">
        <f>SUBTOTAL(109,Tabelle2111239[Betrag])</f>
        <v>6000</v>
      </c>
      <c r="S38" s="245"/>
      <c r="T38" s="224">
        <f>SUBTOTAL(103,Tabelle2111239[Begründung])</f>
        <v>0</v>
      </c>
    </row>
  </sheetData>
  <pageMargins left="0.7" right="0.7" top="0.78740157499999996" bottom="0.78740157499999996" header="0.3" footer="0.3"/>
  <pageSetup paperSize="9" orientation="portrait" verticalDpi="0" r:id="rId1"/>
  <tableParts count="1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dimension ref="A1:Q24"/>
  <sheetViews>
    <sheetView zoomScaleNormal="100" workbookViewId="0">
      <selection activeCell="D22" sqref="D22"/>
    </sheetView>
  </sheetViews>
  <sheetFormatPr baseColWidth="10" defaultColWidth="11.44140625" defaultRowHeight="14.4" x14ac:dyDescent="0.3"/>
  <cols>
    <col min="1" max="1" width="12.77734375" style="216" customWidth="1"/>
    <col min="2" max="2" width="24.77734375" style="237" customWidth="1"/>
    <col min="3" max="3" width="23.109375" style="216" customWidth="1"/>
    <col min="4" max="4" width="17.109375" style="238" customWidth="1"/>
    <col min="5" max="5" width="15.77734375" style="216" customWidth="1"/>
    <col min="7" max="7" width="11.6640625" customWidth="1"/>
    <col min="8" max="8" width="17.6640625" customWidth="1"/>
    <col min="9" max="9" width="23.33203125" customWidth="1"/>
    <col min="10" max="10" width="14.109375" customWidth="1"/>
    <col min="11" max="11" width="14.77734375" customWidth="1"/>
  </cols>
  <sheetData>
    <row r="1" spans="1:17" ht="18" x14ac:dyDescent="0.35">
      <c r="A1" s="219" t="s">
        <v>593</v>
      </c>
    </row>
    <row r="3" spans="1:17" ht="15.6" x14ac:dyDescent="0.3">
      <c r="A3" s="239" t="s">
        <v>1531</v>
      </c>
      <c r="G3" s="239" t="s">
        <v>1339</v>
      </c>
      <c r="H3" s="237"/>
      <c r="I3" s="216"/>
      <c r="J3" s="238"/>
      <c r="K3" s="216"/>
      <c r="M3" s="239" t="s">
        <v>594</v>
      </c>
      <c r="N3" s="237"/>
      <c r="O3" s="216"/>
      <c r="P3" s="238"/>
      <c r="Q3" s="216"/>
    </row>
    <row r="4" spans="1:17" x14ac:dyDescent="0.3">
      <c r="G4" s="216"/>
      <c r="H4" s="237"/>
      <c r="I4" s="216"/>
      <c r="J4" s="238"/>
      <c r="K4" s="216"/>
      <c r="M4" s="216"/>
      <c r="N4" s="237"/>
      <c r="O4" s="216"/>
      <c r="P4" s="238"/>
      <c r="Q4" s="216"/>
    </row>
    <row r="5" spans="1:17" ht="28.8" x14ac:dyDescent="0.3">
      <c r="A5" s="221" t="s">
        <v>595</v>
      </c>
      <c r="B5" s="240" t="s">
        <v>596</v>
      </c>
      <c r="C5" s="222" t="s">
        <v>597</v>
      </c>
      <c r="D5" s="241" t="s">
        <v>598</v>
      </c>
      <c r="E5" s="217" t="s">
        <v>599</v>
      </c>
      <c r="G5" s="221" t="s">
        <v>595</v>
      </c>
      <c r="H5" s="240" t="s">
        <v>596</v>
      </c>
      <c r="I5" s="222" t="s">
        <v>597</v>
      </c>
      <c r="J5" s="241" t="s">
        <v>598</v>
      </c>
      <c r="K5" s="217" t="s">
        <v>599</v>
      </c>
      <c r="M5" s="221" t="s">
        <v>595</v>
      </c>
      <c r="N5" s="240" t="s">
        <v>596</v>
      </c>
      <c r="O5" s="222" t="s">
        <v>597</v>
      </c>
      <c r="P5" s="241" t="s">
        <v>598</v>
      </c>
      <c r="Q5" s="217" t="s">
        <v>599</v>
      </c>
    </row>
    <row r="6" spans="1:17" ht="43.2" x14ac:dyDescent="0.3">
      <c r="A6" s="328">
        <v>1</v>
      </c>
      <c r="B6" s="242" t="s">
        <v>600</v>
      </c>
      <c r="C6" s="225" t="s">
        <v>601</v>
      </c>
      <c r="D6" s="243">
        <v>150</v>
      </c>
      <c r="E6" s="329"/>
      <c r="G6" s="328">
        <v>1</v>
      </c>
      <c r="H6" s="242" t="s">
        <v>600</v>
      </c>
      <c r="I6" s="225" t="s">
        <v>601</v>
      </c>
      <c r="J6" s="243">
        <v>150</v>
      </c>
      <c r="K6" s="329"/>
      <c r="M6" s="328">
        <v>1</v>
      </c>
      <c r="N6" s="242" t="s">
        <v>600</v>
      </c>
      <c r="O6" s="225" t="s">
        <v>601</v>
      </c>
      <c r="P6" s="243">
        <v>150</v>
      </c>
      <c r="Q6" s="329"/>
    </row>
    <row r="7" spans="1:17" ht="28.8" x14ac:dyDescent="0.3">
      <c r="A7" s="328">
        <v>2</v>
      </c>
      <c r="B7" s="242" t="s">
        <v>602</v>
      </c>
      <c r="C7" s="225" t="s">
        <v>603</v>
      </c>
      <c r="D7" s="243">
        <v>600</v>
      </c>
      <c r="E7" s="329"/>
      <c r="G7" s="328">
        <v>2</v>
      </c>
      <c r="H7" s="242" t="s">
        <v>602</v>
      </c>
      <c r="I7" s="225" t="s">
        <v>603</v>
      </c>
      <c r="J7" s="243">
        <v>600</v>
      </c>
      <c r="K7" s="329"/>
      <c r="M7" s="328">
        <v>2</v>
      </c>
      <c r="N7" s="242" t="s">
        <v>602</v>
      </c>
      <c r="O7" s="225" t="s">
        <v>603</v>
      </c>
      <c r="P7" s="243">
        <v>600</v>
      </c>
      <c r="Q7" s="329"/>
    </row>
    <row r="8" spans="1:17" ht="28.8" x14ac:dyDescent="0.3">
      <c r="A8" s="328">
        <v>3</v>
      </c>
      <c r="B8" s="242" t="s">
        <v>604</v>
      </c>
      <c r="C8" s="225" t="s">
        <v>605</v>
      </c>
      <c r="D8" s="243">
        <v>4200</v>
      </c>
      <c r="E8" s="329"/>
      <c r="G8" s="328">
        <v>3</v>
      </c>
      <c r="H8" s="242" t="s">
        <v>604</v>
      </c>
      <c r="I8" s="225" t="s">
        <v>605</v>
      </c>
      <c r="J8" s="243">
        <v>4200</v>
      </c>
      <c r="K8" s="329"/>
      <c r="M8" s="328">
        <v>3</v>
      </c>
      <c r="N8" s="242" t="s">
        <v>604</v>
      </c>
      <c r="O8" s="225" t="s">
        <v>605</v>
      </c>
      <c r="P8" s="243">
        <v>4200</v>
      </c>
      <c r="Q8" s="329"/>
    </row>
    <row r="9" spans="1:17" x14ac:dyDescent="0.3">
      <c r="A9" s="1312">
        <v>4</v>
      </c>
      <c r="B9" s="1313" t="s">
        <v>1533</v>
      </c>
      <c r="C9" s="1314" t="s">
        <v>1534</v>
      </c>
      <c r="D9" s="1315">
        <v>10000</v>
      </c>
      <c r="E9" s="1316"/>
      <c r="G9" s="328">
        <v>4</v>
      </c>
      <c r="H9" s="242"/>
      <c r="I9" s="225"/>
      <c r="J9" s="243"/>
      <c r="K9" s="329"/>
      <c r="M9" s="328">
        <v>4</v>
      </c>
      <c r="N9" s="242"/>
      <c r="O9" s="225"/>
      <c r="P9" s="243">
        <v>0</v>
      </c>
      <c r="Q9" s="329"/>
    </row>
    <row r="10" spans="1:17" x14ac:dyDescent="0.3">
      <c r="A10" s="328">
        <v>5</v>
      </c>
      <c r="B10" s="242"/>
      <c r="C10" s="225"/>
      <c r="D10" s="243">
        <v>0</v>
      </c>
      <c r="E10" s="329"/>
      <c r="G10" s="328">
        <v>5</v>
      </c>
      <c r="H10" s="242"/>
      <c r="I10" s="225"/>
      <c r="J10" s="243">
        <v>0</v>
      </c>
      <c r="K10" s="329"/>
      <c r="M10" s="328">
        <v>5</v>
      </c>
      <c r="N10" s="242"/>
      <c r="O10" s="225"/>
      <c r="P10" s="243">
        <v>0</v>
      </c>
      <c r="Q10" s="329"/>
    </row>
    <row r="11" spans="1:17" x14ac:dyDescent="0.3">
      <c r="A11" s="328">
        <v>6</v>
      </c>
      <c r="B11" s="242" t="s">
        <v>606</v>
      </c>
      <c r="C11" s="225"/>
      <c r="D11" s="243">
        <v>2500</v>
      </c>
      <c r="E11" s="329"/>
      <c r="G11" s="328">
        <v>6</v>
      </c>
      <c r="H11" s="242" t="s">
        <v>606</v>
      </c>
      <c r="I11" s="225"/>
      <c r="J11" s="243">
        <v>2500</v>
      </c>
      <c r="K11" s="329"/>
      <c r="M11" s="328">
        <v>6</v>
      </c>
      <c r="N11" s="242" t="s">
        <v>606</v>
      </c>
      <c r="O11" s="225"/>
      <c r="P11" s="243">
        <v>3000</v>
      </c>
      <c r="Q11" s="329"/>
    </row>
    <row r="12" spans="1:17" x14ac:dyDescent="0.3">
      <c r="A12" s="223" t="s">
        <v>607</v>
      </c>
      <c r="B12" s="244"/>
      <c r="C12" s="245"/>
      <c r="D12" s="246">
        <f>SUBTOTAL(109,Tabelle16669[Beträge/Budget])</f>
        <v>17450</v>
      </c>
      <c r="E12" s="224"/>
      <c r="G12" s="223" t="s">
        <v>607</v>
      </c>
      <c r="H12" s="244"/>
      <c r="I12" s="245"/>
      <c r="J12" s="246">
        <f>SUBTOTAL(109,Tabelle166[Beträge/Budget])</f>
        <v>7450</v>
      </c>
      <c r="K12" s="224"/>
      <c r="M12" s="223" t="s">
        <v>607</v>
      </c>
      <c r="N12" s="244"/>
      <c r="O12" s="245"/>
      <c r="P12" s="246">
        <f>SUBTOTAL(109,Tabelle16[Beträge/Budget])</f>
        <v>7950</v>
      </c>
      <c r="Q12" s="224"/>
    </row>
    <row r="13" spans="1:17" x14ac:dyDescent="0.3">
      <c r="G13" s="216"/>
      <c r="H13" s="237"/>
      <c r="I13" s="216"/>
      <c r="J13" s="238"/>
      <c r="K13" s="216"/>
      <c r="M13" s="216"/>
      <c r="N13" s="237"/>
      <c r="O13" s="216"/>
      <c r="P13" s="238"/>
      <c r="Q13" s="216"/>
    </row>
    <row r="14" spans="1:17" x14ac:dyDescent="0.3">
      <c r="G14" s="216"/>
      <c r="H14" s="237"/>
      <c r="I14" s="216"/>
      <c r="J14" s="238"/>
      <c r="K14" s="216"/>
      <c r="M14" s="216"/>
      <c r="N14" s="237"/>
      <c r="O14" s="216"/>
      <c r="P14" s="238"/>
      <c r="Q14" s="216"/>
    </row>
    <row r="15" spans="1:17" ht="15.6" x14ac:dyDescent="0.3">
      <c r="A15" s="239" t="s">
        <v>1532</v>
      </c>
      <c r="G15" s="239" t="s">
        <v>1340</v>
      </c>
      <c r="H15" s="237"/>
      <c r="I15" s="216"/>
      <c r="J15" s="238"/>
      <c r="K15" s="216"/>
      <c r="M15" s="239" t="s">
        <v>608</v>
      </c>
      <c r="N15" s="237"/>
      <c r="O15" s="216"/>
      <c r="P15" s="238"/>
      <c r="Q15" s="216"/>
    </row>
    <row r="16" spans="1:17" x14ac:dyDescent="0.3">
      <c r="G16" s="216"/>
      <c r="H16" s="237"/>
      <c r="I16" s="216"/>
      <c r="J16" s="238"/>
      <c r="K16" s="216"/>
      <c r="M16" s="216"/>
      <c r="N16" s="237"/>
      <c r="O16" s="216"/>
      <c r="P16" s="238"/>
      <c r="Q16" s="216"/>
    </row>
    <row r="17" spans="1:17" ht="28.8" x14ac:dyDescent="0.3">
      <c r="A17" s="221" t="s">
        <v>609</v>
      </c>
      <c r="B17" s="240" t="s">
        <v>610</v>
      </c>
      <c r="C17" s="222" t="s">
        <v>611</v>
      </c>
      <c r="D17" s="241" t="s">
        <v>598</v>
      </c>
      <c r="E17" s="217" t="s">
        <v>599</v>
      </c>
      <c r="G17" s="221" t="s">
        <v>609</v>
      </c>
      <c r="H17" s="240" t="s">
        <v>610</v>
      </c>
      <c r="I17" s="222" t="s">
        <v>611</v>
      </c>
      <c r="J17" s="241" t="s">
        <v>598</v>
      </c>
      <c r="K17" s="217" t="s">
        <v>599</v>
      </c>
      <c r="M17" s="221" t="s">
        <v>609</v>
      </c>
      <c r="N17" s="240" t="s">
        <v>610</v>
      </c>
      <c r="O17" s="222" t="s">
        <v>611</v>
      </c>
      <c r="P17" s="241" t="s">
        <v>598</v>
      </c>
      <c r="Q17" s="217" t="s">
        <v>599</v>
      </c>
    </row>
    <row r="18" spans="1:17" ht="28.8" x14ac:dyDescent="0.3">
      <c r="A18" s="328">
        <v>1</v>
      </c>
      <c r="B18" s="242" t="s">
        <v>612</v>
      </c>
      <c r="C18" s="225" t="s">
        <v>605</v>
      </c>
      <c r="D18" s="243">
        <v>1000</v>
      </c>
      <c r="E18" s="329"/>
      <c r="G18" s="328">
        <v>1</v>
      </c>
      <c r="H18" s="242" t="s">
        <v>612</v>
      </c>
      <c r="I18" s="225" t="s">
        <v>605</v>
      </c>
      <c r="J18" s="243">
        <v>1000</v>
      </c>
      <c r="K18" s="329"/>
      <c r="M18" s="328">
        <v>1</v>
      </c>
      <c r="N18" s="242" t="s">
        <v>612</v>
      </c>
      <c r="O18" s="225" t="s">
        <v>605</v>
      </c>
      <c r="P18" s="243">
        <v>1000</v>
      </c>
      <c r="Q18" s="329"/>
    </row>
    <row r="19" spans="1:17" ht="28.8" x14ac:dyDescent="0.3">
      <c r="A19" s="328">
        <v>2</v>
      </c>
      <c r="B19" s="242" t="s">
        <v>613</v>
      </c>
      <c r="C19" s="225" t="s">
        <v>605</v>
      </c>
      <c r="D19" s="243">
        <v>360</v>
      </c>
      <c r="E19" s="329"/>
      <c r="G19" s="328">
        <v>2</v>
      </c>
      <c r="H19" s="242" t="s">
        <v>613</v>
      </c>
      <c r="I19" s="225" t="s">
        <v>605</v>
      </c>
      <c r="J19" s="243">
        <v>360</v>
      </c>
      <c r="K19" s="329"/>
      <c r="M19" s="328">
        <v>2</v>
      </c>
      <c r="N19" s="242" t="s">
        <v>613</v>
      </c>
      <c r="O19" s="225" t="s">
        <v>605</v>
      </c>
      <c r="P19" s="243">
        <v>360</v>
      </c>
      <c r="Q19" s="329"/>
    </row>
    <row r="20" spans="1:17" ht="72" x14ac:dyDescent="0.3">
      <c r="A20" s="328">
        <v>3</v>
      </c>
      <c r="B20" s="242" t="s">
        <v>614</v>
      </c>
      <c r="C20" s="225" t="s">
        <v>615</v>
      </c>
      <c r="D20" s="243">
        <v>1000</v>
      </c>
      <c r="E20" s="964" t="s">
        <v>1341</v>
      </c>
      <c r="G20" s="328">
        <v>3</v>
      </c>
      <c r="H20" s="242" t="s">
        <v>614</v>
      </c>
      <c r="I20" s="225" t="s">
        <v>615</v>
      </c>
      <c r="J20" s="243">
        <v>1000</v>
      </c>
      <c r="K20" s="964" t="s">
        <v>1341</v>
      </c>
      <c r="M20" s="328">
        <v>3</v>
      </c>
      <c r="N20" s="242" t="s">
        <v>614</v>
      </c>
      <c r="O20" s="225" t="s">
        <v>615</v>
      </c>
      <c r="P20" s="243">
        <v>1000</v>
      </c>
      <c r="Q20" s="329"/>
    </row>
    <row r="21" spans="1:17" ht="43.2" x14ac:dyDescent="0.3">
      <c r="A21" s="328">
        <v>4</v>
      </c>
      <c r="B21" s="242" t="s">
        <v>616</v>
      </c>
      <c r="C21" s="225" t="s">
        <v>617</v>
      </c>
      <c r="D21" s="243">
        <v>440</v>
      </c>
      <c r="E21" s="964"/>
      <c r="G21" s="328">
        <v>4</v>
      </c>
      <c r="H21" s="242" t="s">
        <v>616</v>
      </c>
      <c r="I21" s="225" t="s">
        <v>617</v>
      </c>
      <c r="J21" s="243">
        <v>440</v>
      </c>
      <c r="K21" s="964"/>
      <c r="M21" s="328">
        <v>4</v>
      </c>
      <c r="N21" s="242" t="s">
        <v>616</v>
      </c>
      <c r="O21" s="225" t="s">
        <v>617</v>
      </c>
      <c r="P21" s="243">
        <v>440</v>
      </c>
      <c r="Q21" s="329"/>
    </row>
    <row r="22" spans="1:17" ht="28.8" x14ac:dyDescent="0.3">
      <c r="A22" s="328">
        <v>5</v>
      </c>
      <c r="B22" s="242" t="s">
        <v>1537</v>
      </c>
      <c r="C22" s="225" t="s">
        <v>1538</v>
      </c>
      <c r="D22" s="243">
        <v>4941.5</v>
      </c>
      <c r="E22" s="964"/>
      <c r="G22" s="328">
        <v>5</v>
      </c>
      <c r="H22" s="242" t="s">
        <v>618</v>
      </c>
      <c r="I22" s="225" t="s">
        <v>619</v>
      </c>
      <c r="J22" s="243">
        <v>0</v>
      </c>
      <c r="K22" s="964" t="s">
        <v>1341</v>
      </c>
      <c r="M22" s="328">
        <v>5</v>
      </c>
      <c r="N22" s="242" t="s">
        <v>618</v>
      </c>
      <c r="O22" s="225" t="s">
        <v>619</v>
      </c>
      <c r="P22" s="243">
        <v>280</v>
      </c>
      <c r="Q22" s="329"/>
    </row>
    <row r="23" spans="1:17" ht="28.8" x14ac:dyDescent="0.3">
      <c r="A23" s="328">
        <v>6</v>
      </c>
      <c r="B23" s="242" t="s">
        <v>620</v>
      </c>
      <c r="C23" s="225"/>
      <c r="D23" s="243">
        <v>2000</v>
      </c>
      <c r="E23" s="329"/>
      <c r="G23" s="328">
        <v>6</v>
      </c>
      <c r="H23" s="242" t="s">
        <v>620</v>
      </c>
      <c r="I23" s="225"/>
      <c r="J23" s="243">
        <v>2500</v>
      </c>
      <c r="K23" s="329"/>
      <c r="M23" s="328">
        <v>6</v>
      </c>
      <c r="N23" s="242" t="s">
        <v>620</v>
      </c>
      <c r="O23" s="225"/>
      <c r="P23" s="243">
        <v>1000</v>
      </c>
      <c r="Q23" s="329"/>
    </row>
    <row r="24" spans="1:17" x14ac:dyDescent="0.3">
      <c r="A24" s="223" t="s">
        <v>607</v>
      </c>
      <c r="B24" s="965"/>
      <c r="C24" s="966"/>
      <c r="D24" s="967">
        <f>SUBTOTAL(109,Tabelle17770[Beträge/Budget])</f>
        <v>9741.5</v>
      </c>
      <c r="E24" s="968"/>
      <c r="G24" s="223" t="s">
        <v>607</v>
      </c>
      <c r="H24" s="965"/>
      <c r="I24" s="966"/>
      <c r="J24" s="967">
        <f>SUBTOTAL(109,Tabelle177[Beträge/Budget])</f>
        <v>5300</v>
      </c>
      <c r="K24" s="968"/>
      <c r="M24" s="223" t="s">
        <v>607</v>
      </c>
      <c r="N24" s="244"/>
      <c r="O24" s="245"/>
      <c r="P24" s="246">
        <f>SUBTOTAL(109,Tabelle17[Beträge/Budget])</f>
        <v>4080</v>
      </c>
      <c r="Q24" s="224"/>
    </row>
  </sheetData>
  <pageMargins left="0.7" right="0.7" top="0.78740157499999996" bottom="0.78740157499999996" header="0.3" footer="0.3"/>
  <pageSetup paperSize="9" orientation="portrait" verticalDpi="0"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A1:AA26"/>
  <sheetViews>
    <sheetView zoomScaleNormal="100" workbookViewId="0">
      <selection activeCell="E27" sqref="E27"/>
    </sheetView>
  </sheetViews>
  <sheetFormatPr baseColWidth="10" defaultColWidth="11.44140625" defaultRowHeight="14.4" x14ac:dyDescent="0.3"/>
  <cols>
    <col min="1" max="1" width="13.44140625" style="216" customWidth="1"/>
    <col min="2" max="2" width="27.44140625" style="216" customWidth="1"/>
    <col min="3" max="3" width="17.109375" style="216" customWidth="1"/>
    <col min="4" max="4" width="17.109375" style="226" customWidth="1"/>
    <col min="5" max="5" width="11.77734375" style="216" bestFit="1" customWidth="1"/>
    <col min="6" max="6" width="11" style="216"/>
    <col min="9" max="9" width="20.77734375" customWidth="1"/>
    <col min="11" max="11" width="13" customWidth="1"/>
  </cols>
  <sheetData>
    <row r="1" spans="1:27" ht="18" x14ac:dyDescent="0.35">
      <c r="A1" s="219" t="s">
        <v>698</v>
      </c>
    </row>
    <row r="4" spans="1:27" x14ac:dyDescent="0.3">
      <c r="A4" s="220" t="s">
        <v>1529</v>
      </c>
      <c r="H4" s="220" t="s">
        <v>1364</v>
      </c>
      <c r="I4" s="216"/>
      <c r="J4" s="216"/>
      <c r="K4" s="226"/>
      <c r="L4" s="216"/>
      <c r="M4" s="216"/>
      <c r="O4" s="220" t="s">
        <v>707</v>
      </c>
      <c r="P4" s="216"/>
      <c r="Q4" s="216"/>
      <c r="R4" s="226"/>
      <c r="S4" s="216"/>
      <c r="T4" s="216"/>
      <c r="V4" s="220" t="s">
        <v>530</v>
      </c>
      <c r="W4" s="216"/>
      <c r="X4" s="216"/>
      <c r="Y4" s="226"/>
      <c r="Z4" s="216"/>
      <c r="AA4" s="216"/>
    </row>
    <row r="5" spans="1:27" x14ac:dyDescent="0.3">
      <c r="A5" s="221" t="s">
        <v>595</v>
      </c>
      <c r="B5" s="222" t="s">
        <v>699</v>
      </c>
      <c r="C5" s="222" t="s">
        <v>597</v>
      </c>
      <c r="D5" s="227" t="s">
        <v>598</v>
      </c>
      <c r="E5" s="217" t="s">
        <v>1</v>
      </c>
      <c r="F5" s="217" t="s">
        <v>599</v>
      </c>
      <c r="H5" s="221" t="s">
        <v>595</v>
      </c>
      <c r="I5" s="222" t="s">
        <v>699</v>
      </c>
      <c r="J5" s="222" t="s">
        <v>597</v>
      </c>
      <c r="K5" s="227" t="s">
        <v>598</v>
      </c>
      <c r="L5" s="217" t="s">
        <v>1</v>
      </c>
      <c r="M5" s="217" t="s">
        <v>599</v>
      </c>
      <c r="O5" s="221" t="s">
        <v>595</v>
      </c>
      <c r="P5" s="222" t="s">
        <v>699</v>
      </c>
      <c r="Q5" s="222" t="s">
        <v>597</v>
      </c>
      <c r="R5" s="227" t="s">
        <v>598</v>
      </c>
      <c r="S5" s="217" t="s">
        <v>1</v>
      </c>
      <c r="T5" s="217" t="s">
        <v>599</v>
      </c>
      <c r="V5" s="221" t="s">
        <v>595</v>
      </c>
      <c r="W5" s="222" t="s">
        <v>699</v>
      </c>
      <c r="X5" s="222" t="s">
        <v>597</v>
      </c>
      <c r="Y5" s="227" t="s">
        <v>598</v>
      </c>
      <c r="Z5" s="217" t="s">
        <v>1</v>
      </c>
      <c r="AA5" s="217" t="s">
        <v>599</v>
      </c>
    </row>
    <row r="6" spans="1:27" x14ac:dyDescent="0.3">
      <c r="A6" s="328">
        <v>1</v>
      </c>
      <c r="B6" s="225" t="s">
        <v>412</v>
      </c>
      <c r="C6" s="225" t="s">
        <v>700</v>
      </c>
      <c r="D6" s="228">
        <v>4000</v>
      </c>
      <c r="E6" s="360" t="s">
        <v>410</v>
      </c>
      <c r="F6" s="329"/>
      <c r="H6" s="328">
        <v>1</v>
      </c>
      <c r="I6" s="225" t="s">
        <v>412</v>
      </c>
      <c r="J6" s="225" t="s">
        <v>700</v>
      </c>
      <c r="K6" s="228">
        <v>6000</v>
      </c>
      <c r="L6" s="360" t="s">
        <v>410</v>
      </c>
      <c r="M6" s="329"/>
      <c r="O6" s="328">
        <v>1</v>
      </c>
      <c r="P6" s="225" t="s">
        <v>412</v>
      </c>
      <c r="Q6" s="225" t="s">
        <v>700</v>
      </c>
      <c r="R6" s="228">
        <v>5000</v>
      </c>
      <c r="S6" s="360" t="s">
        <v>410</v>
      </c>
      <c r="T6" s="329"/>
      <c r="V6" s="328">
        <v>1</v>
      </c>
      <c r="W6" s="225" t="s">
        <v>412</v>
      </c>
      <c r="X6" s="225" t="s">
        <v>700</v>
      </c>
      <c r="Y6" s="228">
        <v>5000</v>
      </c>
      <c r="Z6" s="360" t="s">
        <v>410</v>
      </c>
      <c r="AA6" s="329"/>
    </row>
    <row r="7" spans="1:27" x14ac:dyDescent="0.3">
      <c r="A7" s="328">
        <v>2</v>
      </c>
      <c r="B7" s="225" t="s">
        <v>1535</v>
      </c>
      <c r="C7" s="225" t="s">
        <v>1536</v>
      </c>
      <c r="D7" s="228">
        <v>5000</v>
      </c>
      <c r="E7" s="360" t="s">
        <v>419</v>
      </c>
      <c r="F7" s="329"/>
      <c r="H7" s="328">
        <v>2</v>
      </c>
      <c r="I7" s="225" t="s">
        <v>708</v>
      </c>
      <c r="J7" s="225" t="s">
        <v>709</v>
      </c>
      <c r="K7" s="228">
        <v>24000</v>
      </c>
      <c r="L7" s="360" t="s">
        <v>427</v>
      </c>
      <c r="M7" s="329" t="s">
        <v>710</v>
      </c>
      <c r="O7" s="328">
        <v>2</v>
      </c>
      <c r="P7" s="225" t="s">
        <v>708</v>
      </c>
      <c r="Q7" s="225" t="s">
        <v>709</v>
      </c>
      <c r="R7" s="228">
        <v>24000</v>
      </c>
      <c r="S7" s="360" t="s">
        <v>427</v>
      </c>
      <c r="T7" s="329" t="s">
        <v>710</v>
      </c>
      <c r="V7" s="328">
        <v>2</v>
      </c>
      <c r="W7" s="225" t="s">
        <v>701</v>
      </c>
      <c r="X7" s="225" t="s">
        <v>605</v>
      </c>
      <c r="Y7" s="228">
        <v>4500</v>
      </c>
      <c r="Z7" s="360" t="s">
        <v>416</v>
      </c>
      <c r="AA7" s="329"/>
    </row>
    <row r="8" spans="1:27" x14ac:dyDescent="0.3">
      <c r="A8" s="328"/>
      <c r="B8" s="225"/>
      <c r="C8" s="225"/>
      <c r="D8" s="228"/>
      <c r="E8" s="360"/>
      <c r="F8" s="329"/>
      <c r="H8" s="328">
        <v>3</v>
      </c>
      <c r="I8" s="225" t="s">
        <v>711</v>
      </c>
      <c r="J8" s="225" t="s">
        <v>700</v>
      </c>
      <c r="K8" s="228">
        <v>2000</v>
      </c>
      <c r="L8" s="360" t="s">
        <v>413</v>
      </c>
      <c r="M8" s="329"/>
      <c r="O8" s="328">
        <v>3</v>
      </c>
      <c r="P8" s="225" t="s">
        <v>711</v>
      </c>
      <c r="Q8" s="225" t="s">
        <v>700</v>
      </c>
      <c r="R8" s="228">
        <v>2000</v>
      </c>
      <c r="S8" s="360" t="s">
        <v>413</v>
      </c>
      <c r="T8" s="329"/>
      <c r="V8" s="328">
        <v>3</v>
      </c>
      <c r="W8" s="225" t="s">
        <v>702</v>
      </c>
      <c r="X8" s="225" t="s">
        <v>605</v>
      </c>
      <c r="Y8" s="228">
        <v>4500</v>
      </c>
      <c r="Z8" s="360" t="s">
        <v>416</v>
      </c>
      <c r="AA8" s="329"/>
    </row>
    <row r="9" spans="1:27" x14ac:dyDescent="0.3">
      <c r="A9" s="328"/>
      <c r="B9" s="242"/>
      <c r="C9" s="225"/>
      <c r="D9" s="228"/>
      <c r="E9" s="360"/>
      <c r="F9" s="329"/>
      <c r="H9" s="328">
        <v>4</v>
      </c>
      <c r="I9" s="242"/>
      <c r="J9" s="225" t="s">
        <v>712</v>
      </c>
      <c r="K9" s="228"/>
      <c r="L9" s="360"/>
      <c r="M9" s="329"/>
      <c r="O9" s="328">
        <v>4</v>
      </c>
      <c r="P9" s="225"/>
      <c r="Q9" s="225"/>
      <c r="R9" s="228"/>
      <c r="S9" s="360"/>
      <c r="T9" s="329"/>
      <c r="V9" s="328">
        <v>4</v>
      </c>
      <c r="W9" s="225" t="s">
        <v>703</v>
      </c>
      <c r="X9" s="225" t="s">
        <v>704</v>
      </c>
      <c r="Y9" s="228">
        <v>350</v>
      </c>
      <c r="Z9" s="360" t="s">
        <v>416</v>
      </c>
      <c r="AA9" s="329"/>
    </row>
    <row r="10" spans="1:27" x14ac:dyDescent="0.3">
      <c r="A10" s="328"/>
      <c r="B10" s="225"/>
      <c r="C10" s="225"/>
      <c r="D10" s="228"/>
      <c r="E10" s="360"/>
      <c r="F10" s="329"/>
      <c r="H10" s="328"/>
      <c r="I10" s="225"/>
      <c r="J10" s="225"/>
      <c r="K10" s="228"/>
      <c r="L10" s="360"/>
      <c r="M10" s="329"/>
      <c r="O10" s="328"/>
      <c r="P10" s="225"/>
      <c r="Q10" s="225"/>
      <c r="R10" s="228"/>
      <c r="S10" s="360"/>
      <c r="T10" s="329"/>
      <c r="V10" s="328">
        <v>5</v>
      </c>
      <c r="W10" s="225" t="s">
        <v>705</v>
      </c>
      <c r="X10" s="225" t="s">
        <v>706</v>
      </c>
      <c r="Y10" s="228">
        <v>2900</v>
      </c>
      <c r="Z10" s="360"/>
      <c r="AA10" s="329"/>
    </row>
    <row r="11" spans="1:27" x14ac:dyDescent="0.3">
      <c r="A11" s="328"/>
      <c r="B11" s="225"/>
      <c r="C11" s="225"/>
      <c r="D11" s="228"/>
      <c r="E11" s="360"/>
      <c r="F11" s="329"/>
      <c r="H11" s="328"/>
      <c r="I11" s="225"/>
      <c r="J11" s="225"/>
      <c r="K11" s="228"/>
      <c r="L11" s="360"/>
      <c r="M11" s="329"/>
      <c r="O11" s="328"/>
      <c r="P11" s="225"/>
      <c r="Q11" s="225"/>
      <c r="R11" s="228"/>
      <c r="S11" s="360"/>
      <c r="T11" s="329"/>
      <c r="V11" s="328">
        <v>6</v>
      </c>
      <c r="W11" s="225" t="s">
        <v>620</v>
      </c>
      <c r="X11" s="225"/>
      <c r="Y11" s="228">
        <v>3000</v>
      </c>
      <c r="Z11" s="360"/>
      <c r="AA11" s="329"/>
    </row>
    <row r="12" spans="1:27" x14ac:dyDescent="0.3">
      <c r="A12" s="328"/>
      <c r="B12" s="225" t="s">
        <v>620</v>
      </c>
      <c r="C12" s="225" t="s">
        <v>712</v>
      </c>
      <c r="D12" s="228">
        <v>1000</v>
      </c>
      <c r="E12" s="360" t="s">
        <v>419</v>
      </c>
      <c r="F12" s="329"/>
      <c r="H12" s="328"/>
      <c r="I12" s="225" t="s">
        <v>620</v>
      </c>
      <c r="J12" s="225" t="s">
        <v>712</v>
      </c>
      <c r="K12" s="228">
        <v>3500</v>
      </c>
      <c r="L12" s="360" t="s">
        <v>413</v>
      </c>
      <c r="M12" s="329"/>
      <c r="O12" s="328"/>
      <c r="P12" s="225" t="s">
        <v>620</v>
      </c>
      <c r="Q12" s="225" t="s">
        <v>712</v>
      </c>
      <c r="R12" s="228">
        <v>2000</v>
      </c>
      <c r="S12" s="360" t="s">
        <v>413</v>
      </c>
      <c r="T12" s="329"/>
      <c r="V12" s="223" t="s">
        <v>556</v>
      </c>
      <c r="W12" s="245"/>
      <c r="X12" s="245"/>
      <c r="Y12" s="361">
        <f>SUM(Y6:Y11)</f>
        <v>20250</v>
      </c>
      <c r="Z12" s="218"/>
      <c r="AA12" s="224"/>
    </row>
    <row r="13" spans="1:27" x14ac:dyDescent="0.3">
      <c r="A13" s="223" t="s">
        <v>556</v>
      </c>
      <c r="B13" s="245"/>
      <c r="C13" s="245"/>
      <c r="D13" s="361">
        <f>SUM(D6:D12)</f>
        <v>10000</v>
      </c>
      <c r="E13" s="218"/>
      <c r="F13" s="224"/>
      <c r="H13" s="223" t="s">
        <v>556</v>
      </c>
      <c r="I13" s="245"/>
      <c r="J13" s="245"/>
      <c r="K13" s="361">
        <f>SUM(K6:K12)</f>
        <v>35500</v>
      </c>
      <c r="L13" s="218"/>
      <c r="M13" s="224"/>
      <c r="O13" s="223" t="s">
        <v>556</v>
      </c>
      <c r="P13" s="245"/>
      <c r="Q13" s="245"/>
      <c r="R13" s="361">
        <f>SUM(R6:R12)</f>
        <v>33000</v>
      </c>
      <c r="S13" s="218"/>
      <c r="T13" s="224"/>
    </row>
    <row r="14" spans="1:27" x14ac:dyDescent="0.3">
      <c r="H14" s="216"/>
      <c r="I14" s="216"/>
      <c r="J14" s="216"/>
      <c r="K14" s="226"/>
      <c r="L14" s="216"/>
      <c r="M14" s="216"/>
      <c r="O14" s="216"/>
      <c r="P14" s="216"/>
      <c r="Q14" s="216"/>
      <c r="R14" s="226"/>
      <c r="S14" s="216"/>
      <c r="T14" s="216"/>
    </row>
    <row r="15" spans="1:27" x14ac:dyDescent="0.3">
      <c r="H15" s="216"/>
      <c r="I15" s="216"/>
      <c r="J15" s="216"/>
      <c r="K15" s="226"/>
      <c r="L15" s="216"/>
      <c r="M15" s="216"/>
      <c r="O15" s="216"/>
      <c r="P15" s="216"/>
      <c r="Q15" s="216"/>
      <c r="R15" s="226"/>
      <c r="S15" s="216"/>
      <c r="T15" s="216"/>
    </row>
    <row r="16" spans="1:27" x14ac:dyDescent="0.3">
      <c r="A16" s="220" t="s">
        <v>1530</v>
      </c>
      <c r="H16" s="220" t="s">
        <v>1365</v>
      </c>
      <c r="I16" s="216"/>
      <c r="J16" s="216"/>
      <c r="K16" s="226"/>
      <c r="L16" s="216"/>
      <c r="M16" s="216"/>
      <c r="O16" s="220" t="s">
        <v>713</v>
      </c>
      <c r="P16" s="216"/>
      <c r="Q16" s="216"/>
      <c r="R16" s="226"/>
      <c r="S16" s="216"/>
      <c r="T16" s="216"/>
    </row>
    <row r="17" spans="1:20" x14ac:dyDescent="0.3">
      <c r="A17" s="221" t="s">
        <v>595</v>
      </c>
      <c r="B17" s="222" t="s">
        <v>699</v>
      </c>
      <c r="C17" s="222" t="s">
        <v>597</v>
      </c>
      <c r="D17" s="227" t="s">
        <v>598</v>
      </c>
      <c r="E17" s="217" t="s">
        <v>1</v>
      </c>
      <c r="F17" s="217" t="s">
        <v>599</v>
      </c>
      <c r="H17" s="221" t="s">
        <v>595</v>
      </c>
      <c r="I17" s="222" t="s">
        <v>699</v>
      </c>
      <c r="J17" s="222" t="s">
        <v>597</v>
      </c>
      <c r="K17" s="227" t="s">
        <v>598</v>
      </c>
      <c r="L17" s="217" t="s">
        <v>1</v>
      </c>
      <c r="M17" s="217" t="s">
        <v>599</v>
      </c>
      <c r="O17" s="221" t="s">
        <v>595</v>
      </c>
      <c r="P17" s="222" t="s">
        <v>699</v>
      </c>
      <c r="Q17" s="222" t="s">
        <v>597</v>
      </c>
      <c r="R17" s="227" t="s">
        <v>598</v>
      </c>
      <c r="S17" s="217" t="s">
        <v>1</v>
      </c>
      <c r="T17" s="217" t="s">
        <v>599</v>
      </c>
    </row>
    <row r="18" spans="1:20" x14ac:dyDescent="0.3">
      <c r="A18" s="328">
        <v>2</v>
      </c>
      <c r="B18" s="225" t="s">
        <v>701</v>
      </c>
      <c r="C18" s="225" t="s">
        <v>605</v>
      </c>
      <c r="D18" s="228">
        <v>4500</v>
      </c>
      <c r="E18" s="360" t="s">
        <v>416</v>
      </c>
      <c r="F18" s="329"/>
      <c r="H18" s="328">
        <v>2</v>
      </c>
      <c r="I18" s="225" t="s">
        <v>701</v>
      </c>
      <c r="J18" s="225" t="s">
        <v>605</v>
      </c>
      <c r="K18" s="228">
        <v>4500</v>
      </c>
      <c r="L18" s="360" t="s">
        <v>416</v>
      </c>
      <c r="M18" s="329"/>
      <c r="O18" s="328">
        <v>2</v>
      </c>
      <c r="P18" s="225" t="s">
        <v>701</v>
      </c>
      <c r="Q18" s="225" t="s">
        <v>605</v>
      </c>
      <c r="R18" s="228">
        <v>4500</v>
      </c>
      <c r="S18" s="360" t="s">
        <v>416</v>
      </c>
      <c r="T18" s="329"/>
    </row>
    <row r="19" spans="1:20" x14ac:dyDescent="0.3">
      <c r="A19" s="328">
        <v>3</v>
      </c>
      <c r="B19" s="225" t="s">
        <v>702</v>
      </c>
      <c r="C19" s="225" t="s">
        <v>605</v>
      </c>
      <c r="D19" s="228">
        <v>4500</v>
      </c>
      <c r="E19" s="360" t="s">
        <v>416</v>
      </c>
      <c r="F19" s="329"/>
      <c r="H19" s="328">
        <v>3</v>
      </c>
      <c r="I19" s="225" t="s">
        <v>702</v>
      </c>
      <c r="J19" s="225" t="s">
        <v>605</v>
      </c>
      <c r="K19" s="228">
        <v>4500</v>
      </c>
      <c r="L19" s="360" t="s">
        <v>416</v>
      </c>
      <c r="M19" s="329"/>
      <c r="O19" s="328">
        <v>3</v>
      </c>
      <c r="P19" s="225" t="s">
        <v>702</v>
      </c>
      <c r="Q19" s="225" t="s">
        <v>605</v>
      </c>
      <c r="R19" s="228">
        <v>4500</v>
      </c>
      <c r="S19" s="360" t="s">
        <v>416</v>
      </c>
      <c r="T19" s="329"/>
    </row>
    <row r="20" spans="1:20" x14ac:dyDescent="0.3">
      <c r="A20" s="328">
        <v>4</v>
      </c>
      <c r="B20" s="225" t="s">
        <v>703</v>
      </c>
      <c r="C20" s="225" t="s">
        <v>704</v>
      </c>
      <c r="D20" s="228">
        <v>350</v>
      </c>
      <c r="E20" s="360" t="s">
        <v>416</v>
      </c>
      <c r="F20" s="329"/>
      <c r="H20" s="328">
        <v>4</v>
      </c>
      <c r="I20" s="225" t="s">
        <v>703</v>
      </c>
      <c r="J20" s="225" t="s">
        <v>704</v>
      </c>
      <c r="K20" s="228">
        <v>350</v>
      </c>
      <c r="L20" s="360" t="s">
        <v>416</v>
      </c>
      <c r="M20" s="329"/>
      <c r="O20" s="328">
        <v>4</v>
      </c>
      <c r="P20" s="225" t="s">
        <v>703</v>
      </c>
      <c r="Q20" s="225" t="s">
        <v>704</v>
      </c>
      <c r="R20" s="228">
        <v>350</v>
      </c>
      <c r="S20" s="360" t="s">
        <v>416</v>
      </c>
      <c r="T20" s="329"/>
    </row>
    <row r="21" spans="1:20" x14ac:dyDescent="0.3">
      <c r="A21" s="328">
        <v>5</v>
      </c>
      <c r="B21" s="225" t="s">
        <v>705</v>
      </c>
      <c r="C21" s="225" t="s">
        <v>706</v>
      </c>
      <c r="D21" s="228">
        <v>3500</v>
      </c>
      <c r="E21" s="360" t="s">
        <v>416</v>
      </c>
      <c r="F21" s="329"/>
      <c r="H21" s="328">
        <v>5</v>
      </c>
      <c r="I21" s="225" t="s">
        <v>705</v>
      </c>
      <c r="J21" s="225" t="s">
        <v>706</v>
      </c>
      <c r="K21" s="228">
        <v>2900</v>
      </c>
      <c r="L21" s="360"/>
      <c r="M21" s="329"/>
      <c r="O21" s="328">
        <v>5</v>
      </c>
      <c r="P21" s="225" t="s">
        <v>705</v>
      </c>
      <c r="Q21" s="225" t="s">
        <v>706</v>
      </c>
      <c r="R21" s="228">
        <v>2900</v>
      </c>
      <c r="S21" s="360"/>
      <c r="T21" s="329"/>
    </row>
    <row r="22" spans="1:20" x14ac:dyDescent="0.3">
      <c r="A22" s="328">
        <v>6</v>
      </c>
      <c r="B22" s="225" t="s">
        <v>714</v>
      </c>
      <c r="C22" s="225" t="s">
        <v>715</v>
      </c>
      <c r="D22" s="994">
        <v>1000</v>
      </c>
      <c r="E22" s="360" t="s">
        <v>416</v>
      </c>
      <c r="F22" s="329"/>
      <c r="H22" s="328">
        <v>6</v>
      </c>
      <c r="I22" s="225" t="s">
        <v>714</v>
      </c>
      <c r="J22" s="225" t="s">
        <v>715</v>
      </c>
      <c r="K22" s="994">
        <f>Referatspläne!L4</f>
        <v>72288</v>
      </c>
      <c r="L22" s="360"/>
      <c r="M22" s="329"/>
      <c r="O22" s="328">
        <v>6</v>
      </c>
      <c r="P22" s="225" t="s">
        <v>714</v>
      </c>
      <c r="Q22" s="225" t="s">
        <v>715</v>
      </c>
      <c r="R22" s="228">
        <v>5500</v>
      </c>
      <c r="S22" s="360"/>
      <c r="T22" s="329"/>
    </row>
    <row r="23" spans="1:20" x14ac:dyDescent="0.3">
      <c r="A23" s="328">
        <v>7</v>
      </c>
      <c r="B23" s="225" t="s">
        <v>620</v>
      </c>
      <c r="C23" s="225"/>
      <c r="D23" s="228">
        <v>1150</v>
      </c>
      <c r="E23" s="360" t="s">
        <v>416</v>
      </c>
      <c r="F23" s="329"/>
      <c r="H23" s="328">
        <v>7</v>
      </c>
      <c r="I23" s="225" t="s">
        <v>620</v>
      </c>
      <c r="J23" s="225"/>
      <c r="K23" s="228">
        <v>1000</v>
      </c>
      <c r="L23" s="360"/>
      <c r="M23" s="329"/>
      <c r="O23" s="328">
        <v>7</v>
      </c>
      <c r="P23" s="225" t="s">
        <v>620</v>
      </c>
      <c r="Q23" s="225"/>
      <c r="R23" s="228">
        <v>1000</v>
      </c>
      <c r="S23" s="360"/>
      <c r="T23" s="329"/>
    </row>
    <row r="24" spans="1:20" x14ac:dyDescent="0.3">
      <c r="A24" s="223" t="s">
        <v>556</v>
      </c>
      <c r="B24" s="245"/>
      <c r="C24" s="245"/>
      <c r="D24" s="14">
        <f>SUM(D18:D23)</f>
        <v>15000</v>
      </c>
      <c r="E24" s="218"/>
      <c r="F24" s="224"/>
      <c r="H24" s="223" t="s">
        <v>556</v>
      </c>
      <c r="I24" s="245"/>
      <c r="J24" s="245"/>
      <c r="K24" s="14">
        <f>SUM(K18:K23)</f>
        <v>85538</v>
      </c>
      <c r="L24" s="218"/>
      <c r="M24" s="224"/>
      <c r="O24" s="223" t="s">
        <v>556</v>
      </c>
      <c r="P24" s="245"/>
      <c r="Q24" s="245"/>
      <c r="R24" s="362">
        <f>SUM(R18:R23)</f>
        <v>18750</v>
      </c>
      <c r="S24" s="218"/>
      <c r="T24" s="224"/>
    </row>
    <row r="26" spans="1:20" x14ac:dyDescent="0.3">
      <c r="D26" s="226" t="s">
        <v>1569</v>
      </c>
      <c r="E26" s="1346">
        <v>15000</v>
      </c>
    </row>
  </sheetData>
  <phoneticPr fontId="79" type="noConversion"/>
  <hyperlinks>
    <hyperlink ref="R24" location="Haushalt!E231" display="Haushalt!E231" xr:uid="{00000000-0004-0000-0500-000000000000}"/>
  </hyperlinks>
  <pageMargins left="0.7" right="0.7" top="0.78740157499999996" bottom="0.78740157499999996" header="0.3" footer="0.3"/>
  <pageSetup paperSize="9" orientation="portrait" verticalDpi="0" r:id="rId1"/>
  <tableParts count="7">
    <tablePart r:id="rId2"/>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M33"/>
  <sheetViews>
    <sheetView topLeftCell="F1" workbookViewId="0">
      <selection activeCell="G29" sqref="G29"/>
    </sheetView>
  </sheetViews>
  <sheetFormatPr baseColWidth="10" defaultColWidth="11.44140625" defaultRowHeight="14.4" x14ac:dyDescent="0.3"/>
  <cols>
    <col min="1" max="1" width="36.44140625" customWidth="1"/>
    <col min="3" max="4" width="13.44140625" customWidth="1"/>
    <col min="5" max="5" width="19.44140625" customWidth="1"/>
    <col min="6" max="6" width="33.6640625" customWidth="1"/>
    <col min="8" max="8" width="13.44140625" customWidth="1"/>
    <col min="11" max="11" width="31" customWidth="1"/>
    <col min="13" max="13" width="20.44140625" customWidth="1"/>
  </cols>
  <sheetData>
    <row r="1" spans="1:13" ht="30" customHeight="1" x14ac:dyDescent="0.3">
      <c r="A1" s="61" t="s">
        <v>123</v>
      </c>
    </row>
    <row r="2" spans="1:13" ht="20.25" customHeight="1" x14ac:dyDescent="0.3">
      <c r="A2" s="22" t="s">
        <v>530</v>
      </c>
      <c r="F2" s="22" t="s">
        <v>531</v>
      </c>
      <c r="K2" s="22" t="s">
        <v>1330</v>
      </c>
    </row>
    <row r="3" spans="1:13" s="39" customFormat="1" ht="36" customHeight="1" x14ac:dyDescent="0.3">
      <c r="A3" s="39" t="s">
        <v>532</v>
      </c>
      <c r="B3" s="39" t="s">
        <v>533</v>
      </c>
      <c r="C3" s="39" t="s">
        <v>534</v>
      </c>
      <c r="F3" s="39" t="s">
        <v>532</v>
      </c>
      <c r="G3" s="39" t="s">
        <v>533</v>
      </c>
      <c r="H3" s="39" t="s">
        <v>534</v>
      </c>
      <c r="K3" s="39" t="s">
        <v>532</v>
      </c>
      <c r="L3" s="39" t="s">
        <v>533</v>
      </c>
      <c r="M3" s="39" t="s">
        <v>534</v>
      </c>
    </row>
    <row r="4" spans="1:13" x14ac:dyDescent="0.3">
      <c r="A4" t="s">
        <v>535</v>
      </c>
      <c r="B4" t="s">
        <v>536</v>
      </c>
      <c r="C4" s="14">
        <f>(400*12)+(240*12)</f>
        <v>7680</v>
      </c>
      <c r="F4" t="s">
        <v>535</v>
      </c>
      <c r="G4" t="s">
        <v>536</v>
      </c>
      <c r="H4" s="14">
        <f>(400*12)+(240*12)</f>
        <v>7680</v>
      </c>
      <c r="K4" t="s">
        <v>535</v>
      </c>
      <c r="L4" t="s">
        <v>536</v>
      </c>
      <c r="M4" s="14">
        <f>(400*12)+(240*12)</f>
        <v>7680</v>
      </c>
    </row>
    <row r="5" spans="1:13" x14ac:dyDescent="0.3">
      <c r="A5" t="s">
        <v>537</v>
      </c>
      <c r="B5" t="s">
        <v>536</v>
      </c>
      <c r="C5" s="14">
        <f>(320*12)+(160*12)</f>
        <v>5760</v>
      </c>
      <c r="F5" t="s">
        <v>537</v>
      </c>
      <c r="G5" t="s">
        <v>536</v>
      </c>
      <c r="H5" s="14">
        <f>(320*12)+(160*12)</f>
        <v>5760</v>
      </c>
      <c r="K5" t="s">
        <v>537</v>
      </c>
      <c r="L5" t="s">
        <v>536</v>
      </c>
      <c r="M5" s="14">
        <f>(320*12)+(160*12)</f>
        <v>5760</v>
      </c>
    </row>
    <row r="6" spans="1:13" x14ac:dyDescent="0.3">
      <c r="A6" t="s">
        <v>538</v>
      </c>
      <c r="B6" t="s">
        <v>536</v>
      </c>
      <c r="C6" s="14">
        <v>4000</v>
      </c>
      <c r="D6" s="16">
        <f>SUM(C4:C6)</f>
        <v>17440</v>
      </c>
      <c r="E6" t="s">
        <v>539</v>
      </c>
      <c r="F6" t="s">
        <v>538</v>
      </c>
      <c r="G6" t="s">
        <v>536</v>
      </c>
      <c r="H6" s="14">
        <v>4000</v>
      </c>
      <c r="I6" s="16">
        <f>SUM(H4:H6)</f>
        <v>17440</v>
      </c>
      <c r="J6" t="s">
        <v>539</v>
      </c>
      <c r="K6" t="s">
        <v>538</v>
      </c>
      <c r="L6" t="s">
        <v>536</v>
      </c>
      <c r="M6" s="14">
        <v>4000</v>
      </c>
    </row>
    <row r="7" spans="1:13" x14ac:dyDescent="0.3">
      <c r="A7" t="s">
        <v>540</v>
      </c>
      <c r="B7" t="s">
        <v>536</v>
      </c>
      <c r="C7" s="14">
        <f>800*5*12</f>
        <v>48000</v>
      </c>
      <c r="D7" s="16">
        <v>9600</v>
      </c>
      <c r="E7" t="s">
        <v>541</v>
      </c>
      <c r="F7" t="s">
        <v>540</v>
      </c>
      <c r="G7" t="s">
        <v>536</v>
      </c>
      <c r="H7" s="14">
        <f>800*5*12</f>
        <v>48000</v>
      </c>
      <c r="I7" s="16">
        <v>9600</v>
      </c>
      <c r="J7" t="s">
        <v>541</v>
      </c>
      <c r="K7" t="s">
        <v>540</v>
      </c>
      <c r="L7" t="s">
        <v>536</v>
      </c>
      <c r="M7" s="14">
        <f>800*5*12</f>
        <v>48000</v>
      </c>
    </row>
    <row r="8" spans="1:13" x14ac:dyDescent="0.3">
      <c r="A8" t="s">
        <v>542</v>
      </c>
      <c r="B8" t="s">
        <v>543</v>
      </c>
      <c r="C8" s="14">
        <v>1000</v>
      </c>
      <c r="F8" t="s">
        <v>542</v>
      </c>
      <c r="G8" t="s">
        <v>543</v>
      </c>
      <c r="H8" s="14">
        <v>1500</v>
      </c>
      <c r="K8" t="s">
        <v>542</v>
      </c>
      <c r="L8" t="s">
        <v>543</v>
      </c>
      <c r="M8" s="14">
        <v>1500</v>
      </c>
    </row>
    <row r="9" spans="1:13" x14ac:dyDescent="0.3">
      <c r="A9" t="s">
        <v>544</v>
      </c>
      <c r="B9" t="s">
        <v>543</v>
      </c>
      <c r="C9" s="14">
        <v>17320</v>
      </c>
      <c r="F9" t="s">
        <v>544</v>
      </c>
      <c r="G9" t="s">
        <v>543</v>
      </c>
      <c r="H9" s="14">
        <f>D21+D22+D23</f>
        <v>25010</v>
      </c>
      <c r="K9" t="s">
        <v>544</v>
      </c>
      <c r="L9" t="s">
        <v>543</v>
      </c>
      <c r="M9" s="14">
        <f>I21+I22+I23</f>
        <v>0</v>
      </c>
    </row>
    <row r="10" spans="1:13" x14ac:dyDescent="0.3">
      <c r="A10" t="s">
        <v>545</v>
      </c>
      <c r="B10" t="s">
        <v>543</v>
      </c>
      <c r="C10" s="14">
        <v>1000</v>
      </c>
      <c r="F10" t="s">
        <v>545</v>
      </c>
      <c r="G10" t="s">
        <v>543</v>
      </c>
      <c r="H10" s="14">
        <v>1000</v>
      </c>
      <c r="K10" t="s">
        <v>545</v>
      </c>
      <c r="L10" t="s">
        <v>543</v>
      </c>
      <c r="M10" s="14">
        <v>1000</v>
      </c>
    </row>
    <row r="11" spans="1:13" x14ac:dyDescent="0.3">
      <c r="A11" t="s">
        <v>546</v>
      </c>
      <c r="B11" t="s">
        <v>543</v>
      </c>
      <c r="C11" s="14">
        <v>6740</v>
      </c>
      <c r="F11" t="s">
        <v>546</v>
      </c>
      <c r="G11" t="s">
        <v>543</v>
      </c>
      <c r="H11" s="14">
        <v>6740</v>
      </c>
      <c r="K11" t="s">
        <v>546</v>
      </c>
      <c r="L11" t="s">
        <v>543</v>
      </c>
      <c r="M11" s="14">
        <v>6740</v>
      </c>
    </row>
    <row r="12" spans="1:13" x14ac:dyDescent="0.3">
      <c r="A12" t="s">
        <v>547</v>
      </c>
      <c r="B12" t="s">
        <v>543</v>
      </c>
      <c r="C12" s="14">
        <v>0</v>
      </c>
      <c r="F12" t="s">
        <v>547</v>
      </c>
      <c r="G12" t="s">
        <v>543</v>
      </c>
      <c r="H12" s="14">
        <v>1000</v>
      </c>
      <c r="K12" t="s">
        <v>547</v>
      </c>
      <c r="L12" t="s">
        <v>543</v>
      </c>
      <c r="M12" s="14">
        <v>1000</v>
      </c>
    </row>
    <row r="13" spans="1:13" x14ac:dyDescent="0.3">
      <c r="A13" t="s">
        <v>548</v>
      </c>
      <c r="B13" t="s">
        <v>543</v>
      </c>
      <c r="C13" s="14">
        <v>0</v>
      </c>
      <c r="F13" t="s">
        <v>548</v>
      </c>
      <c r="G13" t="s">
        <v>543</v>
      </c>
      <c r="H13" s="14">
        <v>4000</v>
      </c>
      <c r="K13" t="s">
        <v>548</v>
      </c>
      <c r="L13" t="s">
        <v>543</v>
      </c>
      <c r="M13" s="14">
        <v>4000</v>
      </c>
    </row>
    <row r="14" spans="1:13" ht="15" thickBot="1" x14ac:dyDescent="0.35">
      <c r="A14" t="s">
        <v>131</v>
      </c>
      <c r="B14" t="s">
        <v>543</v>
      </c>
      <c r="C14" s="14">
        <v>1750</v>
      </c>
      <c r="D14" s="16">
        <f>SUM(C8:C13)</f>
        <v>26060</v>
      </c>
      <c r="E14" t="s">
        <v>549</v>
      </c>
      <c r="F14" t="s">
        <v>131</v>
      </c>
      <c r="G14" t="s">
        <v>543</v>
      </c>
      <c r="H14" s="14">
        <v>2000</v>
      </c>
      <c r="I14" s="16">
        <f>SUM(H8:H13)</f>
        <v>39250</v>
      </c>
      <c r="J14" t="s">
        <v>549</v>
      </c>
      <c r="K14" t="s">
        <v>131</v>
      </c>
      <c r="L14" t="s">
        <v>543</v>
      </c>
      <c r="M14" s="14">
        <v>2000</v>
      </c>
    </row>
    <row r="15" spans="1:13" ht="15" thickBot="1" x14ac:dyDescent="0.35">
      <c r="A15" t="s">
        <v>550</v>
      </c>
      <c r="C15" s="131">
        <f>SUBTOTAL(109,Tabelle19[Höhe p.A.])</f>
        <v>93250</v>
      </c>
      <c r="F15" t="s">
        <v>550</v>
      </c>
      <c r="H15" s="131">
        <f>SUBTOTAL(109,Tabelle1959[Höhe p.A.])</f>
        <v>106690</v>
      </c>
      <c r="K15" t="s">
        <v>550</v>
      </c>
      <c r="M15" s="131">
        <f>SUBTOTAL(109,Tabelle19595[Höhe p.A.])</f>
        <v>81680</v>
      </c>
    </row>
    <row r="18" spans="1:8" ht="15.6" x14ac:dyDescent="0.3">
      <c r="A18" s="7" t="s">
        <v>551</v>
      </c>
      <c r="H18">
        <v>148400</v>
      </c>
    </row>
    <row r="19" spans="1:8" x14ac:dyDescent="0.3">
      <c r="G19" t="s">
        <v>552</v>
      </c>
      <c r="H19">
        <v>-31800</v>
      </c>
    </row>
    <row r="20" spans="1:8" s="39" customFormat="1" x14ac:dyDescent="0.3">
      <c r="A20" s="39" t="s">
        <v>553</v>
      </c>
      <c r="B20" s="39" t="s">
        <v>554</v>
      </c>
      <c r="C20" s="39" t="s">
        <v>555</v>
      </c>
      <c r="D20" s="39" t="s">
        <v>556</v>
      </c>
      <c r="H20" s="39">
        <f>SUM(H18:H19)</f>
        <v>116600</v>
      </c>
    </row>
    <row r="21" spans="1:8" x14ac:dyDescent="0.3">
      <c r="A21" t="s">
        <v>557</v>
      </c>
      <c r="B21" s="14">
        <v>3360</v>
      </c>
      <c r="C21">
        <v>3</v>
      </c>
      <c r="D21" s="14">
        <f>B21*C21</f>
        <v>10080</v>
      </c>
      <c r="H21">
        <f>-Tabelle1959[[#Totals],[Höhe p.A.]]</f>
        <v>-106690</v>
      </c>
    </row>
    <row r="22" spans="1:8" x14ac:dyDescent="0.3">
      <c r="A22" t="s">
        <v>558</v>
      </c>
      <c r="B22" s="14">
        <v>2310</v>
      </c>
      <c r="C22">
        <v>3</v>
      </c>
      <c r="D22" s="14">
        <f>B22*C22</f>
        <v>6930</v>
      </c>
      <c r="H22">
        <f>SUM(H20:H21)</f>
        <v>9910</v>
      </c>
    </row>
    <row r="23" spans="1:8" x14ac:dyDescent="0.3">
      <c r="A23" t="s">
        <v>559</v>
      </c>
      <c r="B23" s="14"/>
      <c r="D23" s="14">
        <v>8000</v>
      </c>
    </row>
    <row r="24" spans="1:8" x14ac:dyDescent="0.3">
      <c r="B24" s="14"/>
      <c r="D24" s="14"/>
    </row>
    <row r="25" spans="1:8" x14ac:dyDescent="0.3">
      <c r="A25" t="s">
        <v>560</v>
      </c>
      <c r="B25" s="14">
        <v>800</v>
      </c>
      <c r="C25">
        <v>3</v>
      </c>
      <c r="D25" s="14">
        <f>B25*C25</f>
        <v>2400</v>
      </c>
    </row>
    <row r="26" spans="1:8" x14ac:dyDescent="0.3">
      <c r="A26" t="s">
        <v>558</v>
      </c>
      <c r="B26" s="14">
        <v>250</v>
      </c>
      <c r="C26">
        <v>3</v>
      </c>
      <c r="D26" s="14">
        <f>B26*C26</f>
        <v>750</v>
      </c>
    </row>
    <row r="27" spans="1:8" x14ac:dyDescent="0.3">
      <c r="A27" t="s">
        <v>561</v>
      </c>
      <c r="B27" s="14">
        <v>800</v>
      </c>
      <c r="C27">
        <v>4</v>
      </c>
      <c r="D27" s="14">
        <f>Tabelle20[[#This Row],[AE]]*Tabelle20[[#This Row],[Anzahl]]</f>
        <v>3200</v>
      </c>
    </row>
    <row r="28" spans="1:8" x14ac:dyDescent="0.3">
      <c r="A28" t="s">
        <v>562</v>
      </c>
      <c r="B28" s="14"/>
      <c r="D28" s="14">
        <v>1000</v>
      </c>
    </row>
    <row r="29" spans="1:8" x14ac:dyDescent="0.3">
      <c r="B29" s="14"/>
      <c r="D29" s="14"/>
    </row>
    <row r="30" spans="1:8" x14ac:dyDescent="0.3">
      <c r="A30" t="s">
        <v>563</v>
      </c>
      <c r="B30" s="14">
        <v>700</v>
      </c>
      <c r="C30">
        <v>3</v>
      </c>
      <c r="D30" s="14">
        <f>B30*C30</f>
        <v>2100</v>
      </c>
    </row>
    <row r="31" spans="1:8" x14ac:dyDescent="0.3">
      <c r="A31" t="s">
        <v>558</v>
      </c>
      <c r="B31" s="14">
        <v>300</v>
      </c>
      <c r="C31">
        <v>3</v>
      </c>
      <c r="D31" s="14">
        <f>B31*C31</f>
        <v>900</v>
      </c>
    </row>
    <row r="32" spans="1:8" ht="15" thickBot="1" x14ac:dyDescent="0.35">
      <c r="B32" s="14"/>
      <c r="D32" s="14"/>
    </row>
    <row r="33" spans="1:4" ht="15" thickBot="1" x14ac:dyDescent="0.35">
      <c r="A33" t="s">
        <v>550</v>
      </c>
      <c r="D33" s="130">
        <f>SUBTOTAL(109,Tabelle20[Gesamt:])</f>
        <v>35360</v>
      </c>
    </row>
  </sheetData>
  <pageMargins left="0.7" right="0.7" top="0.78740157499999996" bottom="0.78740157499999996" header="0.3" footer="0.3"/>
  <pageSetup paperSize="9" orientation="portrait" verticalDpi="0"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348"/>
  <sheetViews>
    <sheetView zoomScaleNormal="100" workbookViewId="0">
      <selection activeCell="E11" sqref="E11"/>
    </sheetView>
  </sheetViews>
  <sheetFormatPr baseColWidth="10"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1511</v>
      </c>
      <c r="G1" s="1274"/>
      <c r="L1" s="1274"/>
      <c r="N1" s="1274"/>
    </row>
    <row r="2" spans="1:17" ht="23.25" customHeight="1" thickBot="1" x14ac:dyDescent="0.35">
      <c r="G2" s="1274" t="s">
        <v>1517</v>
      </c>
      <c r="L2" s="1274"/>
      <c r="N2" s="1274"/>
    </row>
    <row r="3" spans="1:17" ht="34.5" customHeight="1" thickBot="1" x14ac:dyDescent="0.35">
      <c r="A3" s="1080" t="s">
        <v>1</v>
      </c>
      <c r="B3" s="363" t="s">
        <v>4</v>
      </c>
      <c r="C3" s="1081" t="s">
        <v>717</v>
      </c>
      <c r="D3" s="385" t="s">
        <v>718</v>
      </c>
      <c r="E3" s="1247" t="s">
        <v>1510</v>
      </c>
      <c r="F3" s="1284" t="s">
        <v>1509</v>
      </c>
      <c r="G3" s="1289" t="s">
        <v>1397</v>
      </c>
      <c r="H3" s="1248" t="s">
        <v>1398</v>
      </c>
      <c r="I3" s="1250" t="s">
        <v>1399</v>
      </c>
      <c r="J3" s="1249" t="s">
        <v>1370</v>
      </c>
      <c r="K3" s="1269" t="s">
        <v>1400</v>
      </c>
      <c r="L3" s="1275" t="s">
        <v>719</v>
      </c>
      <c r="M3" s="1299" t="s">
        <v>720</v>
      </c>
      <c r="N3" s="1275" t="s">
        <v>721</v>
      </c>
      <c r="O3" s="233" t="s">
        <v>7</v>
      </c>
      <c r="P3" s="234" t="s">
        <v>722</v>
      </c>
      <c r="Q3" s="667" t="s">
        <v>723</v>
      </c>
    </row>
    <row r="4" spans="1:17" x14ac:dyDescent="0.3">
      <c r="A4" s="191" t="s">
        <v>724</v>
      </c>
      <c r="B4" s="173"/>
      <c r="C4" s="173"/>
      <c r="D4" s="173"/>
      <c r="E4" s="1043"/>
      <c r="F4" s="1285"/>
      <c r="G4" s="1290"/>
      <c r="H4" s="1082"/>
      <c r="I4" s="173"/>
      <c r="J4" s="1083"/>
      <c r="K4" s="52"/>
      <c r="L4" s="1276"/>
      <c r="M4" s="1300"/>
      <c r="N4" s="1306"/>
      <c r="O4" s="174"/>
      <c r="P4" s="50"/>
      <c r="Q4" s="80"/>
    </row>
    <row r="5" spans="1:17" x14ac:dyDescent="0.3">
      <c r="A5" s="175" t="s">
        <v>69</v>
      </c>
      <c r="B5" s="210" t="s">
        <v>650</v>
      </c>
      <c r="C5" s="146"/>
      <c r="D5" s="146"/>
      <c r="E5" s="1253">
        <v>49290</v>
      </c>
      <c r="F5" s="1286">
        <f>E$111</f>
        <v>49290</v>
      </c>
      <c r="G5" s="1291">
        <v>46150</v>
      </c>
      <c r="H5" s="1084">
        <f>E190</f>
        <v>46150</v>
      </c>
      <c r="I5" s="743">
        <v>46150</v>
      </c>
      <c r="J5" s="1085">
        <v>46150</v>
      </c>
      <c r="K5" s="1264">
        <v>33795.4</v>
      </c>
      <c r="L5" s="1277">
        <v>56381</v>
      </c>
      <c r="M5" s="1301">
        <f>E$348</f>
        <v>46150</v>
      </c>
      <c r="N5" s="1307">
        <v>23000</v>
      </c>
      <c r="O5" s="743">
        <v>37605</v>
      </c>
      <c r="P5" s="176"/>
      <c r="Q5" s="146"/>
    </row>
    <row r="6" spans="1:17" x14ac:dyDescent="0.3">
      <c r="A6" s="175" t="s">
        <v>83</v>
      </c>
      <c r="B6" s="210" t="s">
        <v>651</v>
      </c>
      <c r="C6" s="146"/>
      <c r="D6" s="146"/>
      <c r="E6" s="1245">
        <v>0</v>
      </c>
      <c r="F6" s="1286">
        <f>G$111</f>
        <v>0</v>
      </c>
      <c r="G6" s="1291">
        <v>0</v>
      </c>
      <c r="H6" s="1084">
        <f>G190</f>
        <v>200</v>
      </c>
      <c r="I6" s="743">
        <v>0</v>
      </c>
      <c r="J6" s="1085">
        <f>G269</f>
        <v>200</v>
      </c>
      <c r="K6" s="1264">
        <f>H269</f>
        <v>0</v>
      </c>
      <c r="L6" s="1277">
        <v>0</v>
      </c>
      <c r="M6" s="1301">
        <f>G$348</f>
        <v>200</v>
      </c>
      <c r="N6" s="1307">
        <v>0</v>
      </c>
      <c r="O6" s="743">
        <v>0</v>
      </c>
      <c r="P6" s="176"/>
      <c r="Q6" s="146"/>
    </row>
    <row r="7" spans="1:17" ht="15" thickBot="1" x14ac:dyDescent="0.35">
      <c r="A7" s="175" t="s">
        <v>90</v>
      </c>
      <c r="B7" s="210" t="s">
        <v>725</v>
      </c>
      <c r="C7" s="146"/>
      <c r="D7" s="146"/>
      <c r="E7" s="1245">
        <v>0</v>
      </c>
      <c r="F7" s="1286">
        <f>I$111</f>
        <v>0</v>
      </c>
      <c r="G7" s="1291">
        <v>0</v>
      </c>
      <c r="H7" s="1084">
        <f>I190</f>
        <v>500</v>
      </c>
      <c r="I7" s="743">
        <v>0</v>
      </c>
      <c r="J7" s="1085">
        <f>I269</f>
        <v>500</v>
      </c>
      <c r="K7" s="1264">
        <f>J269</f>
        <v>0</v>
      </c>
      <c r="L7" s="1277">
        <v>0</v>
      </c>
      <c r="M7" s="1301">
        <f>I$348</f>
        <v>500</v>
      </c>
      <c r="N7" s="1307">
        <v>0</v>
      </c>
      <c r="O7" s="743">
        <v>0</v>
      </c>
      <c r="P7" s="176"/>
      <c r="Q7" s="146"/>
    </row>
    <row r="8" spans="1:17" ht="15" thickBot="1" x14ac:dyDescent="0.35">
      <c r="A8" s="177"/>
      <c r="B8" s="178"/>
      <c r="C8" s="178"/>
      <c r="D8" s="178" t="s">
        <v>556</v>
      </c>
      <c r="E8" s="1086">
        <f t="shared" ref="E8:K8" si="0">SUBTOTAL(9,E5:E7)</f>
        <v>49290</v>
      </c>
      <c r="F8" s="1086">
        <f t="shared" si="0"/>
        <v>49290</v>
      </c>
      <c r="G8" s="1292">
        <f t="shared" si="0"/>
        <v>46150</v>
      </c>
      <c r="H8" s="1086">
        <f t="shared" si="0"/>
        <v>46850</v>
      </c>
      <c r="I8" s="1087">
        <f t="shared" si="0"/>
        <v>46150</v>
      </c>
      <c r="J8" s="1088">
        <f t="shared" si="0"/>
        <v>46850</v>
      </c>
      <c r="K8" s="1270">
        <f t="shared" si="0"/>
        <v>33795.4</v>
      </c>
      <c r="L8" s="1278">
        <f>SUBTOTAL(9,L5:L7)</f>
        <v>56381</v>
      </c>
      <c r="M8" s="1302">
        <f>SUBTOTAL(9,M5:M7)</f>
        <v>46850</v>
      </c>
      <c r="N8" s="1278">
        <f>SUBTOTAL(9,N5:N7)</f>
        <v>23000</v>
      </c>
      <c r="O8" s="167">
        <f>SUBTOTAL(9,O5:O7)</f>
        <v>37605</v>
      </c>
      <c r="P8" s="179"/>
      <c r="Q8" s="659"/>
    </row>
    <row r="9" spans="1:17" x14ac:dyDescent="0.3">
      <c r="A9" s="180" t="s">
        <v>119</v>
      </c>
      <c r="B9" s="181"/>
      <c r="C9" s="181"/>
      <c r="D9" s="181"/>
      <c r="E9" s="1028"/>
      <c r="F9" s="1287"/>
      <c r="G9" s="1293"/>
      <c r="H9" s="1089"/>
      <c r="I9" s="181"/>
      <c r="J9" s="1090"/>
      <c r="K9" s="1271"/>
      <c r="L9" s="1279"/>
      <c r="M9" s="1303"/>
      <c r="N9" s="1279"/>
      <c r="O9" s="181"/>
      <c r="P9" s="182"/>
      <c r="Q9" s="146"/>
    </row>
    <row r="10" spans="1:17" x14ac:dyDescent="0.3">
      <c r="A10" s="183" t="s">
        <v>134</v>
      </c>
      <c r="B10" s="146" t="s">
        <v>726</v>
      </c>
      <c r="C10" s="146"/>
      <c r="D10" s="146"/>
      <c r="E10" s="1253">
        <v>9600</v>
      </c>
      <c r="F10" s="1286">
        <v>9600</v>
      </c>
      <c r="G10" s="1291">
        <v>9600</v>
      </c>
      <c r="H10" s="1091">
        <v>9600</v>
      </c>
      <c r="I10" s="1092">
        <v>9600</v>
      </c>
      <c r="J10" s="1093">
        <f>800*12</f>
        <v>9600</v>
      </c>
      <c r="K10" s="1272">
        <v>8000</v>
      </c>
      <c r="L10" s="1280">
        <v>9600</v>
      </c>
      <c r="M10" s="1304">
        <f>800*12</f>
        <v>9600</v>
      </c>
      <c r="N10" s="1308">
        <f>800*12</f>
        <v>9600</v>
      </c>
      <c r="O10" s="743">
        <v>9453.33</v>
      </c>
      <c r="P10" s="176"/>
      <c r="Q10" s="146"/>
    </row>
    <row r="11" spans="1:17" x14ac:dyDescent="0.3">
      <c r="A11" s="183" t="s">
        <v>136</v>
      </c>
      <c r="B11" s="210" t="s">
        <v>727</v>
      </c>
      <c r="C11" s="146"/>
      <c r="D11" s="146"/>
      <c r="E11" s="1253">
        <v>9500</v>
      </c>
      <c r="F11" s="1286">
        <f>M$111</f>
        <v>9500</v>
      </c>
      <c r="G11" s="1294">
        <v>8600</v>
      </c>
      <c r="H11" s="1091">
        <f>M$190</f>
        <v>1000</v>
      </c>
      <c r="I11" s="1092">
        <v>8600</v>
      </c>
      <c r="J11" s="1094">
        <f>M$269</f>
        <v>2300</v>
      </c>
      <c r="K11" s="116">
        <v>4810.5</v>
      </c>
      <c r="L11" s="1277">
        <v>8600</v>
      </c>
      <c r="M11" s="1305">
        <f>M$348</f>
        <v>1000</v>
      </c>
      <c r="N11" s="1307">
        <v>10400</v>
      </c>
      <c r="O11" s="743">
        <v>5830</v>
      </c>
      <c r="P11" s="176"/>
      <c r="Q11" s="146"/>
    </row>
    <row r="12" spans="1:17" x14ac:dyDescent="0.3">
      <c r="A12" s="183" t="s">
        <v>728</v>
      </c>
      <c r="B12" s="210" t="s">
        <v>729</v>
      </c>
      <c r="C12" s="146"/>
      <c r="D12" s="146"/>
      <c r="E12" s="1253">
        <v>14000</v>
      </c>
      <c r="F12" s="1286">
        <f>O$111</f>
        <v>14000</v>
      </c>
      <c r="G12" s="1294">
        <v>15000</v>
      </c>
      <c r="H12" s="1091">
        <f>O$190</f>
        <v>1500</v>
      </c>
      <c r="I12" s="1092">
        <v>15000</v>
      </c>
      <c r="J12" s="1094">
        <f>O$269</f>
        <v>3450</v>
      </c>
      <c r="K12" s="116">
        <v>6968.65</v>
      </c>
      <c r="L12" s="1277">
        <v>15000</v>
      </c>
      <c r="M12" s="1305">
        <f>O$348</f>
        <v>1500</v>
      </c>
      <c r="N12" s="1307">
        <v>14000</v>
      </c>
      <c r="O12" s="743">
        <v>8591.16</v>
      </c>
      <c r="P12" s="176"/>
      <c r="Q12" s="146"/>
    </row>
    <row r="13" spans="1:17" x14ac:dyDescent="0.3">
      <c r="A13" s="183" t="s">
        <v>266</v>
      </c>
      <c r="B13" s="210" t="s">
        <v>730</v>
      </c>
      <c r="C13" s="184"/>
      <c r="D13" s="184"/>
      <c r="E13" s="1252">
        <v>6000</v>
      </c>
      <c r="F13" s="1286">
        <f>Q$111</f>
        <v>6148</v>
      </c>
      <c r="G13" s="1295">
        <v>3000</v>
      </c>
      <c r="H13" s="1091">
        <f>Q$190</f>
        <v>600</v>
      </c>
      <c r="I13" s="1095">
        <v>3000</v>
      </c>
      <c r="J13" s="1094">
        <f>Q$269</f>
        <v>876</v>
      </c>
      <c r="K13" s="116">
        <v>2404.48</v>
      </c>
      <c r="L13" s="1277">
        <v>4200</v>
      </c>
      <c r="M13" s="1305">
        <f>Q$348</f>
        <v>600</v>
      </c>
      <c r="N13" s="1307">
        <v>3000</v>
      </c>
      <c r="O13" s="744">
        <v>1120</v>
      </c>
      <c r="P13" s="185"/>
      <c r="Q13" s="146"/>
    </row>
    <row r="14" spans="1:17" x14ac:dyDescent="0.3">
      <c r="A14" s="183" t="s">
        <v>292</v>
      </c>
      <c r="B14" s="212" t="s">
        <v>731</v>
      </c>
      <c r="C14" s="80"/>
      <c r="D14" s="80"/>
      <c r="E14" s="1254">
        <v>500</v>
      </c>
      <c r="F14" s="1286">
        <f>S$111</f>
        <v>500</v>
      </c>
      <c r="G14" s="1296">
        <v>2000</v>
      </c>
      <c r="H14" s="1091">
        <f>S$190</f>
        <v>100</v>
      </c>
      <c r="I14" s="1096">
        <v>2000</v>
      </c>
      <c r="J14" s="1094">
        <f>S$269</f>
        <v>400</v>
      </c>
      <c r="K14" s="116">
        <v>45.9</v>
      </c>
      <c r="L14" s="1277">
        <v>1000</v>
      </c>
      <c r="M14" s="1305">
        <f>S$348</f>
        <v>100</v>
      </c>
      <c r="N14" s="1307">
        <v>200</v>
      </c>
      <c r="O14" s="745">
        <v>118.19</v>
      </c>
      <c r="P14" s="186"/>
      <c r="Q14" s="80"/>
    </row>
    <row r="15" spans="1:17" x14ac:dyDescent="0.3">
      <c r="A15" s="183" t="s">
        <v>335</v>
      </c>
      <c r="B15" s="210" t="s">
        <v>732</v>
      </c>
      <c r="C15" s="146"/>
      <c r="D15" s="146"/>
      <c r="E15" s="1253">
        <v>43750</v>
      </c>
      <c r="F15" s="1286">
        <f>U$111</f>
        <v>43750</v>
      </c>
      <c r="G15" s="1294">
        <v>40000</v>
      </c>
      <c r="H15" s="1091">
        <f>U$190</f>
        <v>39937.5</v>
      </c>
      <c r="I15" s="1092">
        <v>40000</v>
      </c>
      <c r="J15" s="1094">
        <f>U$269</f>
        <v>40000</v>
      </c>
      <c r="K15" s="116">
        <v>18236.25</v>
      </c>
      <c r="L15" s="1277">
        <v>45600</v>
      </c>
      <c r="M15" s="1305">
        <f>U$348</f>
        <v>40000</v>
      </c>
      <c r="N15" s="1307">
        <f>45000*0.7</f>
        <v>31499.999999999996</v>
      </c>
      <c r="O15" s="743">
        <v>41821.25</v>
      </c>
      <c r="P15" s="176"/>
      <c r="Q15" s="146"/>
    </row>
    <row r="16" spans="1:17" x14ac:dyDescent="0.3">
      <c r="A16" s="183" t="s">
        <v>346</v>
      </c>
      <c r="B16" s="211" t="s">
        <v>318</v>
      </c>
      <c r="C16" s="80"/>
      <c r="D16" s="80"/>
      <c r="E16" s="1254">
        <v>1000</v>
      </c>
      <c r="F16" s="1286">
        <f>W$111</f>
        <v>0</v>
      </c>
      <c r="G16" s="1296">
        <v>1000</v>
      </c>
      <c r="H16" s="1091">
        <f>W$190</f>
        <v>450</v>
      </c>
      <c r="I16" s="1096">
        <v>1000</v>
      </c>
      <c r="J16" s="1094">
        <f>W$269</f>
        <v>450</v>
      </c>
      <c r="K16" s="116"/>
      <c r="L16" s="1277">
        <v>2000</v>
      </c>
      <c r="M16" s="1305">
        <f>W$348</f>
        <v>450</v>
      </c>
      <c r="N16" s="1307">
        <f>45000*0.15</f>
        <v>6750</v>
      </c>
      <c r="O16" s="745">
        <v>0</v>
      </c>
      <c r="P16" s="186"/>
      <c r="Q16" s="80"/>
    </row>
    <row r="17" spans="1:38" x14ac:dyDescent="0.3">
      <c r="A17" s="183" t="s">
        <v>357</v>
      </c>
      <c r="B17" s="211" t="s">
        <v>733</v>
      </c>
      <c r="C17" s="80"/>
      <c r="D17" s="80"/>
      <c r="E17" s="1254">
        <v>500</v>
      </c>
      <c r="F17" s="1286">
        <f>Y$111</f>
        <v>0</v>
      </c>
      <c r="G17" s="1296">
        <v>500</v>
      </c>
      <c r="H17" s="1091">
        <f>Y$190</f>
        <v>100</v>
      </c>
      <c r="I17" s="1096">
        <v>500</v>
      </c>
      <c r="J17" s="1094">
        <f>Y$269</f>
        <v>100</v>
      </c>
      <c r="K17" s="116"/>
      <c r="L17" s="1277">
        <v>1100</v>
      </c>
      <c r="M17" s="1305">
        <f>Y$348</f>
        <v>100</v>
      </c>
      <c r="N17" s="1307">
        <f>45000*0.15</f>
        <v>6750</v>
      </c>
      <c r="O17" s="745">
        <v>0</v>
      </c>
      <c r="P17" s="186"/>
      <c r="Q17" s="80"/>
    </row>
    <row r="18" spans="1:38" x14ac:dyDescent="0.3">
      <c r="A18" s="183" t="s">
        <v>364</v>
      </c>
      <c r="B18" s="211" t="s">
        <v>363</v>
      </c>
      <c r="C18" s="80"/>
      <c r="D18" s="80"/>
      <c r="E18" s="1254">
        <v>500</v>
      </c>
      <c r="F18" s="1286">
        <f>AA$111</f>
        <v>500</v>
      </c>
      <c r="G18" s="1296">
        <v>500</v>
      </c>
      <c r="H18" s="1091">
        <f>AA$190</f>
        <v>30</v>
      </c>
      <c r="I18" s="1096">
        <v>500</v>
      </c>
      <c r="J18" s="1094">
        <f>AA$269</f>
        <v>300</v>
      </c>
      <c r="K18" s="116">
        <v>0</v>
      </c>
      <c r="L18" s="1277">
        <v>1500</v>
      </c>
      <c r="M18" s="1305">
        <f>AA$348</f>
        <v>30</v>
      </c>
      <c r="N18" s="1307">
        <v>2100</v>
      </c>
      <c r="O18" s="745">
        <v>0</v>
      </c>
      <c r="P18" s="186"/>
      <c r="Q18" s="80"/>
    </row>
    <row r="19" spans="1:38" x14ac:dyDescent="0.3">
      <c r="A19" s="183" t="s">
        <v>376</v>
      </c>
      <c r="B19" s="211" t="s">
        <v>734</v>
      </c>
      <c r="C19" s="80"/>
      <c r="D19" s="80"/>
      <c r="E19" s="1254">
        <v>500</v>
      </c>
      <c r="F19" s="1286">
        <f>AC$111</f>
        <v>500</v>
      </c>
      <c r="G19" s="1296">
        <v>500</v>
      </c>
      <c r="H19" s="1091">
        <f>AC$190</f>
        <v>160</v>
      </c>
      <c r="I19" s="1096">
        <v>500</v>
      </c>
      <c r="J19" s="1094">
        <f>AC$269</f>
        <v>0</v>
      </c>
      <c r="K19" s="116">
        <v>0</v>
      </c>
      <c r="L19" s="1277">
        <v>3000</v>
      </c>
      <c r="M19" s="1305">
        <f>AC$348</f>
        <v>160</v>
      </c>
      <c r="N19" s="1307">
        <v>4000</v>
      </c>
      <c r="O19" s="745">
        <v>0</v>
      </c>
      <c r="P19" s="186"/>
      <c r="Q19" s="80"/>
    </row>
    <row r="20" spans="1:38" x14ac:dyDescent="0.3">
      <c r="A20" s="183" t="s">
        <v>386</v>
      </c>
      <c r="B20" s="212" t="s">
        <v>1229</v>
      </c>
      <c r="C20" s="80"/>
      <c r="D20" s="80"/>
      <c r="E20" s="1254">
        <v>5000</v>
      </c>
      <c r="F20" s="1286">
        <f>AE$111</f>
        <v>5240</v>
      </c>
      <c r="G20" s="1296">
        <v>3500</v>
      </c>
      <c r="H20" s="1091">
        <f>AE$190</f>
        <v>3825</v>
      </c>
      <c r="I20" s="1096">
        <v>3500</v>
      </c>
      <c r="J20" s="1094">
        <f>AE$269</f>
        <v>5175</v>
      </c>
      <c r="K20" s="116"/>
      <c r="L20" s="1277">
        <v>4000</v>
      </c>
      <c r="M20" s="1305">
        <f>AE$348</f>
        <v>3825</v>
      </c>
      <c r="N20" s="1307">
        <v>0</v>
      </c>
      <c r="O20" s="745">
        <v>0</v>
      </c>
      <c r="P20" s="186"/>
      <c r="Q20" s="80"/>
    </row>
    <row r="21" spans="1:38" x14ac:dyDescent="0.3">
      <c r="A21" s="183" t="s">
        <v>398</v>
      </c>
      <c r="B21" s="212" t="s">
        <v>397</v>
      </c>
      <c r="C21" s="80"/>
      <c r="D21" s="80"/>
      <c r="E21" s="1254">
        <v>1500</v>
      </c>
      <c r="F21" s="1286">
        <f>AG$111</f>
        <v>1500</v>
      </c>
      <c r="G21" s="1296">
        <v>2500</v>
      </c>
      <c r="H21" s="1091">
        <f>AG$190</f>
        <v>1439.9999999999989</v>
      </c>
      <c r="I21" s="1096">
        <v>2500</v>
      </c>
      <c r="J21" s="1094">
        <f>AG$269</f>
        <v>2039.9999999999989</v>
      </c>
      <c r="K21" s="116">
        <v>2024.73</v>
      </c>
      <c r="L21" s="1277">
        <v>3400</v>
      </c>
      <c r="M21" s="1305">
        <f>AG$348</f>
        <v>1439.9999999999989</v>
      </c>
      <c r="N21" s="1307">
        <v>4000</v>
      </c>
      <c r="O21" s="745">
        <v>2507.77</v>
      </c>
      <c r="P21" s="186"/>
      <c r="Q21" s="80"/>
    </row>
    <row r="22" spans="1:38" ht="15" thickBot="1" x14ac:dyDescent="0.35">
      <c r="A22" s="183" t="s">
        <v>424</v>
      </c>
      <c r="B22" s="212" t="s">
        <v>675</v>
      </c>
      <c r="C22" s="80"/>
      <c r="D22" s="80"/>
      <c r="E22" s="1254">
        <v>0</v>
      </c>
      <c r="F22" s="1286">
        <f>AI$111</f>
        <v>0</v>
      </c>
      <c r="G22" s="1296">
        <v>0</v>
      </c>
      <c r="H22" s="1091">
        <f>AI$190</f>
        <v>200</v>
      </c>
      <c r="I22" s="1096">
        <v>0</v>
      </c>
      <c r="J22" s="1094">
        <f>AI$269</f>
        <v>0</v>
      </c>
      <c r="K22" s="116">
        <v>0</v>
      </c>
      <c r="L22" s="1281">
        <v>500</v>
      </c>
      <c r="M22" s="1305">
        <f>AI$348</f>
        <v>200</v>
      </c>
      <c r="N22" s="1309">
        <v>700</v>
      </c>
      <c r="O22" s="745">
        <v>0</v>
      </c>
      <c r="P22" s="186"/>
      <c r="Q22" s="80"/>
    </row>
    <row r="23" spans="1:38" ht="15" thickBot="1" x14ac:dyDescent="0.35">
      <c r="A23" s="187"/>
      <c r="B23" s="188"/>
      <c r="C23" s="188"/>
      <c r="D23" s="189" t="s">
        <v>556</v>
      </c>
      <c r="E23" s="194">
        <f t="shared" ref="E23:K23" si="1">SUBTOTAL(109,E10:E22)</f>
        <v>92350</v>
      </c>
      <c r="F23" s="1288">
        <f t="shared" si="1"/>
        <v>91238</v>
      </c>
      <c r="G23" s="1297">
        <f t="shared" si="1"/>
        <v>86700</v>
      </c>
      <c r="H23" s="194">
        <f t="shared" si="1"/>
        <v>58942.5</v>
      </c>
      <c r="I23" s="1097">
        <f t="shared" si="1"/>
        <v>86700</v>
      </c>
      <c r="J23" s="1098">
        <f t="shared" si="1"/>
        <v>64691</v>
      </c>
      <c r="K23" s="1273">
        <f t="shared" si="1"/>
        <v>42490.51</v>
      </c>
      <c r="L23" s="1282">
        <f>SUBTOTAL(109,L10:L22)</f>
        <v>99500</v>
      </c>
      <c r="M23" s="1273">
        <f>SUBTOTAL(109,M10:M22)</f>
        <v>59005</v>
      </c>
      <c r="N23" s="1310">
        <f>SUBTOTAL(109,N10:N22)</f>
        <v>93000</v>
      </c>
      <c r="O23" s="171">
        <f>SUBTOTAL(109,O10:O22)</f>
        <v>69441.7</v>
      </c>
      <c r="P23" s="190"/>
      <c r="Q23" s="1268"/>
    </row>
    <row r="24" spans="1:38" x14ac:dyDescent="0.3">
      <c r="A24" s="77"/>
      <c r="B24" s="76"/>
      <c r="C24" s="76"/>
      <c r="D24" s="76"/>
      <c r="E24" s="76"/>
      <c r="F24" s="76"/>
      <c r="G24" s="1298"/>
      <c r="H24" s="76"/>
      <c r="L24" s="1274"/>
      <c r="N24" s="1274"/>
    </row>
    <row r="25" spans="1:38" x14ac:dyDescent="0.3">
      <c r="A25" s="77"/>
      <c r="B25" s="76"/>
      <c r="C25" s="76"/>
      <c r="D25" s="192" t="s">
        <v>735</v>
      </c>
      <c r="E25" s="1099">
        <f>G8-Tabelle189[[#Totals],[Freie Eingabe NHH 23-24]]</f>
        <v>-40550</v>
      </c>
      <c r="F25" s="1099">
        <f>F8-Tabelle189[[#Totals],[Rechnung HHJ 24-25]]</f>
        <v>-41948</v>
      </c>
      <c r="G25" s="1283">
        <f>G8-Tabelle189[[#Totals],[Freie Eingabe NHH 23-24]]</f>
        <v>-40550</v>
      </c>
      <c r="H25" s="1099">
        <f>H8-Tabelle189[[#Totals],[Rechnung NHH 23-24]]</f>
        <v>-12092.5</v>
      </c>
      <c r="I25" s="1099">
        <f>I8-Tabelle189[[#Totals],[Freie Eingabe HHJ 23-24]]</f>
        <v>-40550</v>
      </c>
      <c r="J25" s="1099">
        <f>J8-Tabelle189[[#Totals],[Rechnung HHJ 23-24]]</f>
        <v>-17841</v>
      </c>
      <c r="K25" s="1099">
        <f>K8-Tabelle189[[#Totals],[IST HHJ 23-24]]</f>
        <v>-8695.11</v>
      </c>
      <c r="L25" s="1283">
        <f>L8-Tabelle189[[#Totals],[Freie Eingabe Plan HHJ 22-23]]</f>
        <v>-43119</v>
      </c>
      <c r="M25" s="1099">
        <f>M8-Tabelle189[[#Totals],[Rechnung HHJ 22-23]]</f>
        <v>-12155</v>
      </c>
      <c r="N25" s="1283">
        <f>N8-Tabelle189[[#Totals],[Freie Eingabe Plan HHJ 21-22]]</f>
        <v>-70000</v>
      </c>
      <c r="O25" s="1099">
        <f>O8-Tabelle189[[#Totals],[IST HHJ 21-22]]</f>
        <v>-31836.699999999997</v>
      </c>
    </row>
    <row r="26" spans="1:38" x14ac:dyDescent="0.3">
      <c r="A26" s="77"/>
      <c r="B26" s="76"/>
      <c r="C26" s="76"/>
      <c r="D26" s="192"/>
      <c r="E26" s="1099"/>
      <c r="F26" s="1099"/>
      <c r="G26" s="1283"/>
      <c r="H26" s="1099"/>
      <c r="I26" s="1099"/>
      <c r="J26" s="1099"/>
      <c r="K26" s="1099"/>
      <c r="L26" s="1283"/>
      <c r="M26" s="1099"/>
      <c r="N26" s="1283"/>
    </row>
    <row r="27" spans="1:38" x14ac:dyDescent="0.3">
      <c r="A27" s="77"/>
      <c r="B27" s="76"/>
      <c r="C27" s="76"/>
      <c r="D27" s="192"/>
      <c r="E27" s="1099"/>
      <c r="F27" s="1099"/>
      <c r="G27" s="1283"/>
      <c r="H27" s="1099"/>
      <c r="I27" s="1099"/>
      <c r="J27" s="1099"/>
      <c r="K27" s="1099"/>
      <c r="L27" s="1283"/>
      <c r="M27" s="1099"/>
      <c r="N27" s="1283"/>
    </row>
    <row r="28" spans="1:38" s="1104" customFormat="1" x14ac:dyDescent="0.3">
      <c r="A28" s="1100"/>
      <c r="B28" s="1101"/>
      <c r="C28" s="1101"/>
      <c r="D28" s="1102"/>
      <c r="E28" s="1103"/>
      <c r="F28" s="1103"/>
      <c r="G28" s="1103"/>
      <c r="H28" s="1103"/>
      <c r="I28" s="1103"/>
      <c r="J28" s="1103"/>
      <c r="K28" s="1103"/>
      <c r="L28" s="1103"/>
      <c r="M28" s="1103"/>
      <c r="N28" s="1103"/>
    </row>
    <row r="29" spans="1:38" x14ac:dyDescent="0.3">
      <c r="A29" s="77"/>
      <c r="B29" s="76"/>
      <c r="C29" s="76"/>
      <c r="D29" s="76"/>
      <c r="E29" s="76"/>
      <c r="F29" s="76"/>
      <c r="G29" s="76"/>
      <c r="H29" s="76"/>
    </row>
    <row r="30" spans="1:38" ht="18" x14ac:dyDescent="0.3">
      <c r="A30" s="1105" t="s">
        <v>1401</v>
      </c>
      <c r="C30" s="76"/>
      <c r="D30" s="76"/>
      <c r="E30" s="76"/>
      <c r="F30" s="76"/>
      <c r="G30" s="76"/>
      <c r="H30" s="76"/>
    </row>
    <row r="31" spans="1:38" x14ac:dyDescent="0.3">
      <c r="A31" s="77"/>
      <c r="B31" s="76"/>
      <c r="C31" s="76"/>
      <c r="D31" s="76"/>
      <c r="E31" s="76"/>
      <c r="F31" s="76"/>
      <c r="G31" s="76"/>
      <c r="H31" s="76"/>
    </row>
    <row r="32" spans="1:38" ht="69" x14ac:dyDescent="0.3">
      <c r="A32" s="1355" t="s">
        <v>1402</v>
      </c>
      <c r="B32" s="1355"/>
      <c r="C32" s="1355"/>
      <c r="D32" s="1355"/>
      <c r="E32" s="1106" t="s">
        <v>650</v>
      </c>
      <c r="F32" s="1106" t="s">
        <v>8</v>
      </c>
      <c r="G32" s="1107" t="s">
        <v>651</v>
      </c>
      <c r="H32" s="1106" t="s">
        <v>8</v>
      </c>
      <c r="I32" s="1107" t="s">
        <v>725</v>
      </c>
      <c r="J32" s="1106" t="s">
        <v>8</v>
      </c>
      <c r="K32" s="1107" t="s">
        <v>726</v>
      </c>
      <c r="L32" s="1106" t="s">
        <v>8</v>
      </c>
      <c r="M32" s="1107" t="s">
        <v>727</v>
      </c>
      <c r="N32" s="1106" t="s">
        <v>8</v>
      </c>
      <c r="O32" s="1107" t="s">
        <v>1403</v>
      </c>
      <c r="P32" s="1106" t="s">
        <v>8</v>
      </c>
      <c r="Q32" s="1107" t="s">
        <v>256</v>
      </c>
      <c r="R32" s="1106" t="s">
        <v>8</v>
      </c>
      <c r="S32" s="1107" t="s">
        <v>731</v>
      </c>
      <c r="T32" s="1106" t="s">
        <v>8</v>
      </c>
      <c r="U32" s="1107" t="s">
        <v>732</v>
      </c>
      <c r="V32" s="1106" t="s">
        <v>8</v>
      </c>
      <c r="W32" s="1107" t="s">
        <v>318</v>
      </c>
      <c r="X32" s="1106" t="s">
        <v>8</v>
      </c>
      <c r="Y32" s="1107" t="s">
        <v>733</v>
      </c>
      <c r="Z32" s="1106" t="s">
        <v>8</v>
      </c>
      <c r="AA32" s="1107" t="s">
        <v>363</v>
      </c>
      <c r="AB32" s="1106" t="s">
        <v>8</v>
      </c>
      <c r="AC32" s="1107" t="s">
        <v>375</v>
      </c>
      <c r="AD32" s="1106" t="s">
        <v>8</v>
      </c>
      <c r="AE32" s="1107" t="s">
        <v>1222</v>
      </c>
      <c r="AF32" s="1106" t="s">
        <v>8</v>
      </c>
      <c r="AG32" s="1107" t="s">
        <v>397</v>
      </c>
      <c r="AH32" s="1106" t="s">
        <v>8</v>
      </c>
      <c r="AI32" s="1107" t="s">
        <v>675</v>
      </c>
      <c r="AJ32" s="1107"/>
      <c r="AK32" s="1108" t="s">
        <v>1404</v>
      </c>
      <c r="AL32" s="1106" t="s">
        <v>1405</v>
      </c>
    </row>
    <row r="33" spans="1:38" x14ac:dyDescent="0.3">
      <c r="A33" s="1109"/>
      <c r="B33" s="1109"/>
      <c r="C33" s="1109"/>
      <c r="D33" s="1109"/>
      <c r="E33" s="1106"/>
      <c r="F33" s="1106"/>
      <c r="G33" s="1107"/>
      <c r="H33" s="1106"/>
      <c r="I33" s="1107"/>
      <c r="J33" s="1106"/>
      <c r="K33" s="1107"/>
      <c r="L33" s="1106"/>
      <c r="M33" s="1107"/>
      <c r="N33" s="1106"/>
      <c r="O33" s="1107"/>
      <c r="P33" s="1106"/>
      <c r="Q33" s="1107"/>
      <c r="R33" s="1106"/>
      <c r="S33" s="1107"/>
      <c r="T33" s="1106"/>
      <c r="U33" s="1107"/>
      <c r="V33" s="1106"/>
      <c r="W33" s="1107"/>
      <c r="X33" s="1106"/>
      <c r="Y33" s="1107"/>
      <c r="Z33" s="1106"/>
      <c r="AA33" s="1107"/>
      <c r="AB33" s="1106"/>
      <c r="AC33" s="1107"/>
      <c r="AD33" s="1106"/>
      <c r="AE33" s="1107"/>
      <c r="AF33" s="1106"/>
      <c r="AG33" s="1107"/>
      <c r="AH33" s="1106"/>
      <c r="AI33" s="1107"/>
      <c r="AJ33" s="1107"/>
      <c r="AK33" s="1108"/>
      <c r="AL33" s="1106"/>
    </row>
    <row r="34" spans="1:38" ht="18" x14ac:dyDescent="0.3">
      <c r="A34" s="1110" t="s">
        <v>1406</v>
      </c>
      <c r="B34" s="1111"/>
      <c r="C34" s="1111"/>
      <c r="D34" s="1111"/>
      <c r="E34" s="1112"/>
      <c r="F34" s="1112"/>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c r="AI34" s="660"/>
      <c r="AJ34" s="660"/>
      <c r="AK34" s="660"/>
    </row>
    <row r="35" spans="1:38" ht="17.25" customHeight="1" thickBot="1" x14ac:dyDescent="0.35">
      <c r="A35" s="39"/>
      <c r="B35" s="1113"/>
      <c r="C35" s="1113"/>
      <c r="D35" s="1114" t="s">
        <v>1407</v>
      </c>
      <c r="E35" s="1115" t="s">
        <v>69</v>
      </c>
      <c r="F35" s="1116" t="s">
        <v>8</v>
      </c>
      <c r="G35" s="1115" t="s">
        <v>83</v>
      </c>
      <c r="H35" s="1116" t="s">
        <v>8</v>
      </c>
      <c r="I35" s="1115" t="s">
        <v>90</v>
      </c>
      <c r="J35" s="1116" t="s">
        <v>8</v>
      </c>
      <c r="K35" s="1117" t="s">
        <v>134</v>
      </c>
      <c r="L35" s="1118" t="s">
        <v>8</v>
      </c>
      <c r="M35" s="1117" t="s">
        <v>136</v>
      </c>
      <c r="N35" s="1118" t="s">
        <v>8</v>
      </c>
      <c r="O35" s="1117" t="s">
        <v>728</v>
      </c>
      <c r="P35" s="1118" t="s">
        <v>8</v>
      </c>
      <c r="Q35" s="1117" t="s">
        <v>266</v>
      </c>
      <c r="R35" s="1118" t="s">
        <v>8</v>
      </c>
      <c r="S35" s="1117" t="s">
        <v>292</v>
      </c>
      <c r="T35" s="1118" t="s">
        <v>8</v>
      </c>
      <c r="U35" s="1117" t="s">
        <v>335</v>
      </c>
      <c r="V35" s="1118" t="s">
        <v>8</v>
      </c>
      <c r="W35" s="1117" t="s">
        <v>346</v>
      </c>
      <c r="X35" s="1118" t="s">
        <v>8</v>
      </c>
      <c r="Y35" s="1117" t="s">
        <v>357</v>
      </c>
      <c r="Z35" s="1118" t="s">
        <v>8</v>
      </c>
      <c r="AA35" s="1117" t="s">
        <v>364</v>
      </c>
      <c r="AB35" s="1118" t="s">
        <v>8</v>
      </c>
      <c r="AC35" s="1117" t="s">
        <v>376</v>
      </c>
      <c r="AD35" s="1118" t="s">
        <v>8</v>
      </c>
      <c r="AE35" s="1117" t="s">
        <v>386</v>
      </c>
      <c r="AF35" s="1118" t="s">
        <v>8</v>
      </c>
      <c r="AG35" s="1117" t="s">
        <v>398</v>
      </c>
      <c r="AH35" s="1118" t="s">
        <v>8</v>
      </c>
      <c r="AI35" s="1117" t="s">
        <v>424</v>
      </c>
      <c r="AJ35" s="1119" t="s">
        <v>8</v>
      </c>
      <c r="AK35" s="1120" t="s">
        <v>1404</v>
      </c>
      <c r="AL35" s="1121" t="s">
        <v>1405</v>
      </c>
    </row>
    <row r="36" spans="1:38" ht="18" outlineLevel="1" x14ac:dyDescent="0.35">
      <c r="A36" s="1122" t="s">
        <v>1223</v>
      </c>
      <c r="B36" s="1123" t="s">
        <v>625</v>
      </c>
      <c r="C36" s="1124" t="s">
        <v>1523</v>
      </c>
      <c r="D36" s="1125" t="s">
        <v>1409</v>
      </c>
      <c r="E36" s="1126"/>
      <c r="F36" s="1127"/>
      <c r="G36" s="1127"/>
      <c r="H36" s="1127"/>
      <c r="I36" s="1127"/>
      <c r="J36" s="1127"/>
      <c r="K36" s="1127"/>
      <c r="L36" s="1127"/>
      <c r="M36" s="1127"/>
      <c r="N36" s="1127"/>
      <c r="O36" s="1127"/>
      <c r="P36" s="1127"/>
      <c r="Q36" s="1127"/>
      <c r="R36" s="1127"/>
      <c r="S36" s="1127"/>
      <c r="T36" s="1127"/>
      <c r="U36" s="1127"/>
      <c r="V36" s="1127"/>
      <c r="W36" s="1127"/>
      <c r="X36" s="1127"/>
      <c r="Y36" s="1127"/>
      <c r="Z36" s="1127"/>
      <c r="AA36" s="1127"/>
      <c r="AB36" s="1127"/>
      <c r="AC36" s="1127"/>
      <c r="AD36" s="1127"/>
      <c r="AE36" s="1127"/>
      <c r="AF36" s="1127"/>
      <c r="AG36" s="1127"/>
      <c r="AH36" s="1127"/>
      <c r="AI36" s="1127"/>
      <c r="AJ36" s="1128"/>
      <c r="AK36" s="1128"/>
      <c r="AL36" s="1129"/>
    </row>
    <row r="37" spans="1:38" ht="276" hidden="1" outlineLevel="2" x14ac:dyDescent="0.3">
      <c r="A37" s="1130"/>
      <c r="B37" s="1131" t="s">
        <v>1518</v>
      </c>
      <c r="C37" s="1132"/>
      <c r="D37" s="1133"/>
      <c r="E37" s="1134"/>
      <c r="F37" s="1135"/>
      <c r="G37" s="1135"/>
      <c r="H37" s="1135"/>
      <c r="I37" s="1135"/>
      <c r="J37" s="1135"/>
      <c r="K37" s="1135"/>
      <c r="L37" s="1135"/>
      <c r="M37" s="1135"/>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6"/>
      <c r="AK37" s="1136"/>
      <c r="AL37" s="1137"/>
    </row>
    <row r="38" spans="1:38" s="39" customFormat="1" ht="47.25" hidden="1" customHeight="1" outlineLevel="2" x14ac:dyDescent="0.3">
      <c r="A38" s="1130"/>
      <c r="B38" s="1131" t="s">
        <v>1367</v>
      </c>
      <c r="C38" s="1132"/>
      <c r="D38" s="1133"/>
      <c r="E38" s="1134">
        <v>49290</v>
      </c>
      <c r="F38" s="1135"/>
      <c r="G38" s="1135"/>
      <c r="H38" s="1135"/>
      <c r="I38" s="1135"/>
      <c r="J38" s="1135"/>
      <c r="K38" s="1135"/>
      <c r="L38" s="1135"/>
      <c r="M38" s="1135"/>
      <c r="N38" s="1135"/>
      <c r="O38" s="1135"/>
      <c r="P38" s="1135"/>
      <c r="Q38" s="1135"/>
      <c r="R38" s="1135"/>
      <c r="S38" s="1135"/>
      <c r="T38" s="1135"/>
      <c r="U38" s="1135">
        <v>43750</v>
      </c>
      <c r="V38" s="1135"/>
      <c r="W38" s="1135">
        <v>1200</v>
      </c>
      <c r="X38" s="1135"/>
      <c r="Y38" s="1135"/>
      <c r="Z38" s="1135"/>
      <c r="AA38" s="1135"/>
      <c r="AB38" s="1135"/>
      <c r="AC38" s="1135"/>
      <c r="AD38" s="1135"/>
      <c r="AE38" s="1135">
        <v>3000</v>
      </c>
      <c r="AF38" s="1135"/>
      <c r="AG38" s="1135"/>
      <c r="AH38" s="1135"/>
      <c r="AI38" s="1135"/>
      <c r="AJ38" s="1136"/>
      <c r="AK38" s="1137">
        <f t="shared" ref="AK38:AL69" si="2">SUM(E38,G38,I38)-SUM(K38,M38,O38,Q38,S38,U38,W38,Y38,AA38,AC38,AE38,AG38,AI38)</f>
        <v>1340</v>
      </c>
      <c r="AL38" s="1137">
        <f t="shared" si="2"/>
        <v>0</v>
      </c>
    </row>
    <row r="39" spans="1:38" ht="17.25" hidden="1" customHeight="1" outlineLevel="2" x14ac:dyDescent="0.3">
      <c r="A39" s="1130"/>
      <c r="B39" s="1131" t="s">
        <v>706</v>
      </c>
      <c r="C39" s="1132"/>
      <c r="D39" s="1133"/>
      <c r="E39" s="1134"/>
      <c r="F39" s="1135"/>
      <c r="G39" s="1135"/>
      <c r="H39" s="1135"/>
      <c r="I39" s="1135"/>
      <c r="J39" s="1135"/>
      <c r="K39" s="1135"/>
      <c r="L39" s="1135"/>
      <c r="M39" s="1135"/>
      <c r="N39" s="1135"/>
      <c r="O39" s="1135"/>
      <c r="P39" s="1135"/>
      <c r="Q39" s="1135"/>
      <c r="R39" s="1135"/>
      <c r="S39" s="1135"/>
      <c r="T39" s="1135"/>
      <c r="U39" s="1135"/>
      <c r="V39" s="1135"/>
      <c r="W39" s="1135"/>
      <c r="X39" s="1135"/>
      <c r="Y39" s="1135"/>
      <c r="Z39" s="1135"/>
      <c r="AA39" s="1135"/>
      <c r="AB39" s="1135"/>
      <c r="AC39" s="1135"/>
      <c r="AD39" s="1135"/>
      <c r="AE39" s="1135">
        <v>1200</v>
      </c>
      <c r="AF39" s="1135"/>
      <c r="AG39" s="1135"/>
      <c r="AH39" s="1135"/>
      <c r="AI39" s="1135"/>
      <c r="AJ39" s="1136"/>
      <c r="AK39" s="1137">
        <f t="shared" si="2"/>
        <v>-1200</v>
      </c>
      <c r="AL39" s="1137">
        <f t="shared" si="2"/>
        <v>0</v>
      </c>
    </row>
    <row r="40" spans="1:38" ht="17.25" hidden="1" customHeight="1" outlineLevel="2" x14ac:dyDescent="0.3">
      <c r="A40" s="1130"/>
      <c r="B40" s="1138" t="s">
        <v>751</v>
      </c>
      <c r="C40" s="1139"/>
      <c r="D40" s="1140"/>
      <c r="E40" s="1134"/>
      <c r="F40" s="1141"/>
      <c r="G40" s="1141"/>
      <c r="H40" s="1141"/>
      <c r="I40" s="1141"/>
      <c r="J40" s="1141"/>
      <c r="K40" s="1135"/>
      <c r="L40" s="1141"/>
      <c r="M40" s="1141"/>
      <c r="N40" s="1141"/>
      <c r="O40" s="1141"/>
      <c r="P40" s="1141"/>
      <c r="Q40" s="1141"/>
      <c r="R40" s="1141"/>
      <c r="S40" s="1141"/>
      <c r="T40" s="1141"/>
      <c r="U40" s="1135"/>
      <c r="V40" s="1141"/>
      <c r="W40" s="1141"/>
      <c r="X40" s="1141"/>
      <c r="Y40" s="1141"/>
      <c r="Z40" s="1141"/>
      <c r="AA40" s="1141"/>
      <c r="AB40" s="1141"/>
      <c r="AC40" s="1141"/>
      <c r="AD40" s="1141"/>
      <c r="AE40" s="1135">
        <v>140</v>
      </c>
      <c r="AF40" s="1141"/>
      <c r="AG40" s="1135"/>
      <c r="AH40" s="1141"/>
      <c r="AI40" s="1141"/>
      <c r="AJ40" s="1142"/>
      <c r="AK40" s="1137">
        <f t="shared" si="2"/>
        <v>-140</v>
      </c>
      <c r="AL40" s="1137">
        <f t="shared" si="2"/>
        <v>0</v>
      </c>
    </row>
    <row r="41" spans="1:38" hidden="1" outlineLevel="2" x14ac:dyDescent="0.3">
      <c r="A41" s="1130"/>
      <c r="B41" s="1138"/>
      <c r="C41" s="1139"/>
      <c r="D41" s="1140"/>
      <c r="E41" s="1134"/>
      <c r="F41" s="1141"/>
      <c r="G41" s="1141"/>
      <c r="H41" s="1141"/>
      <c r="I41" s="1141"/>
      <c r="J41" s="1141"/>
      <c r="K41" s="1135"/>
      <c r="L41" s="1141"/>
      <c r="M41" s="1141"/>
      <c r="N41" s="1141"/>
      <c r="O41" s="1141"/>
      <c r="P41" s="1141"/>
      <c r="Q41" s="1141"/>
      <c r="R41" s="1141"/>
      <c r="S41" s="1141"/>
      <c r="T41" s="1141"/>
      <c r="U41" s="1135"/>
      <c r="V41" s="1141"/>
      <c r="W41" s="1141"/>
      <c r="X41" s="1141"/>
      <c r="Y41" s="1141"/>
      <c r="Z41" s="1141"/>
      <c r="AA41" s="1141"/>
      <c r="AB41" s="1141"/>
      <c r="AC41" s="1141"/>
      <c r="AD41" s="1141"/>
      <c r="AE41" s="1135"/>
      <c r="AF41" s="1141"/>
      <c r="AG41" s="1135"/>
      <c r="AH41" s="1141"/>
      <c r="AI41" s="1141"/>
      <c r="AJ41" s="1142"/>
      <c r="AK41" s="1137">
        <f t="shared" si="2"/>
        <v>0</v>
      </c>
      <c r="AL41" s="1137">
        <f t="shared" si="2"/>
        <v>0</v>
      </c>
    </row>
    <row r="42" spans="1:38" hidden="1" outlineLevel="2" x14ac:dyDescent="0.3">
      <c r="A42" s="1130"/>
      <c r="B42" s="1138"/>
      <c r="C42" s="1139"/>
      <c r="D42" s="1140"/>
      <c r="E42" s="1134"/>
      <c r="F42" s="1141"/>
      <c r="G42" s="1141"/>
      <c r="H42" s="1141"/>
      <c r="I42" s="1141"/>
      <c r="J42" s="1141"/>
      <c r="K42" s="1135"/>
      <c r="L42" s="1141"/>
      <c r="M42" s="1141"/>
      <c r="N42" s="1141"/>
      <c r="O42" s="1141"/>
      <c r="P42" s="1141"/>
      <c r="Q42" s="1141"/>
      <c r="R42" s="1141"/>
      <c r="S42" s="1141"/>
      <c r="T42" s="1141"/>
      <c r="U42" s="1135"/>
      <c r="V42" s="1141"/>
      <c r="W42" s="1141"/>
      <c r="X42" s="1141"/>
      <c r="Y42" s="1141"/>
      <c r="Z42" s="1141"/>
      <c r="AA42" s="1141"/>
      <c r="AB42" s="1141"/>
      <c r="AC42" s="1141"/>
      <c r="AD42" s="1141"/>
      <c r="AE42" s="1135"/>
      <c r="AF42" s="1141"/>
      <c r="AG42" s="1135"/>
      <c r="AH42" s="1141"/>
      <c r="AI42" s="1141"/>
      <c r="AJ42" s="1142"/>
      <c r="AK42" s="1137">
        <f t="shared" si="2"/>
        <v>0</v>
      </c>
      <c r="AL42" s="1137">
        <f t="shared" si="2"/>
        <v>0</v>
      </c>
    </row>
    <row r="43" spans="1:38" hidden="1" outlineLevel="2" x14ac:dyDescent="0.3">
      <c r="A43" s="1130"/>
      <c r="B43" s="1138" t="s">
        <v>631</v>
      </c>
      <c r="C43" s="1139"/>
      <c r="D43" s="1140"/>
      <c r="E43" s="1134"/>
      <c r="F43" s="1141"/>
      <c r="G43" s="1141"/>
      <c r="H43" s="1141"/>
      <c r="I43" s="1141"/>
      <c r="J43" s="1141"/>
      <c r="K43" s="1135"/>
      <c r="L43" s="1141"/>
      <c r="M43" s="1141"/>
      <c r="N43" s="1141"/>
      <c r="O43" s="1141"/>
      <c r="P43" s="1141"/>
      <c r="Q43" s="1141"/>
      <c r="R43" s="1141"/>
      <c r="S43" s="1141"/>
      <c r="T43" s="1141"/>
      <c r="U43" s="1135"/>
      <c r="V43" s="1141"/>
      <c r="W43" s="1141"/>
      <c r="X43" s="1141"/>
      <c r="Y43" s="1141"/>
      <c r="Z43" s="1141"/>
      <c r="AA43" s="1141"/>
      <c r="AB43" s="1141"/>
      <c r="AC43" s="1141"/>
      <c r="AD43" s="1141"/>
      <c r="AE43" s="1135"/>
      <c r="AF43" s="1141"/>
      <c r="AG43" s="1135"/>
      <c r="AH43" s="1141"/>
      <c r="AI43" s="1141"/>
      <c r="AJ43" s="1142"/>
      <c r="AK43" s="1137">
        <f t="shared" si="2"/>
        <v>0</v>
      </c>
      <c r="AL43" s="1137">
        <f t="shared" si="2"/>
        <v>0</v>
      </c>
    </row>
    <row r="44" spans="1:38" hidden="1" outlineLevel="2" x14ac:dyDescent="0.3">
      <c r="A44" s="1130"/>
      <c r="B44" s="1138"/>
      <c r="C44" s="1139"/>
      <c r="D44" s="1140"/>
      <c r="E44" s="1134"/>
      <c r="F44" s="1141"/>
      <c r="G44" s="1141"/>
      <c r="H44" s="1141"/>
      <c r="I44" s="1141"/>
      <c r="J44" s="1141"/>
      <c r="K44" s="1135"/>
      <c r="L44" s="1141"/>
      <c r="M44" s="1141"/>
      <c r="N44" s="1141"/>
      <c r="O44" s="1141"/>
      <c r="P44" s="1141"/>
      <c r="Q44" s="1141"/>
      <c r="R44" s="1141"/>
      <c r="S44" s="1141"/>
      <c r="T44" s="1141"/>
      <c r="U44" s="1135"/>
      <c r="V44" s="1141"/>
      <c r="W44" s="1141"/>
      <c r="X44" s="1141"/>
      <c r="Y44" s="1141"/>
      <c r="Z44" s="1141"/>
      <c r="AA44" s="1141"/>
      <c r="AB44" s="1141"/>
      <c r="AC44" s="1141"/>
      <c r="AD44" s="1141"/>
      <c r="AE44" s="1135"/>
      <c r="AF44" s="1141"/>
      <c r="AG44" s="1135"/>
      <c r="AH44" s="1141"/>
      <c r="AI44" s="1141"/>
      <c r="AJ44" s="1142"/>
      <c r="AK44" s="1137">
        <f t="shared" si="2"/>
        <v>0</v>
      </c>
      <c r="AL44" s="1137">
        <f t="shared" si="2"/>
        <v>0</v>
      </c>
    </row>
    <row r="45" spans="1:38" hidden="1" outlineLevel="2" x14ac:dyDescent="0.3">
      <c r="A45" s="1130"/>
      <c r="B45" s="1138"/>
      <c r="C45" s="1139"/>
      <c r="D45" s="1140"/>
      <c r="E45" s="1134"/>
      <c r="F45" s="1141"/>
      <c r="G45" s="1141"/>
      <c r="H45" s="1141"/>
      <c r="I45" s="1141"/>
      <c r="J45" s="1141"/>
      <c r="K45" s="1135"/>
      <c r="L45" s="1141"/>
      <c r="M45" s="1141"/>
      <c r="N45" s="1141"/>
      <c r="O45" s="1141"/>
      <c r="P45" s="1141"/>
      <c r="Q45" s="1141"/>
      <c r="R45" s="1141"/>
      <c r="S45" s="1141"/>
      <c r="T45" s="1141"/>
      <c r="U45" s="1135"/>
      <c r="V45" s="1141"/>
      <c r="W45" s="1141"/>
      <c r="X45" s="1141"/>
      <c r="Y45" s="1141"/>
      <c r="Z45" s="1141"/>
      <c r="AA45" s="1141"/>
      <c r="AB45" s="1141"/>
      <c r="AC45" s="1141"/>
      <c r="AD45" s="1141"/>
      <c r="AE45" s="1135"/>
      <c r="AF45" s="1141"/>
      <c r="AG45" s="1135"/>
      <c r="AH45" s="1141"/>
      <c r="AI45" s="1141"/>
      <c r="AJ45" s="1142"/>
      <c r="AK45" s="1137">
        <f t="shared" si="2"/>
        <v>0</v>
      </c>
      <c r="AL45" s="1137">
        <f t="shared" si="2"/>
        <v>0</v>
      </c>
    </row>
    <row r="46" spans="1:38" hidden="1" outlineLevel="2" x14ac:dyDescent="0.3">
      <c r="A46" s="1130"/>
      <c r="B46" s="1138"/>
      <c r="C46" s="1139"/>
      <c r="D46" s="1140"/>
      <c r="E46" s="1134"/>
      <c r="F46" s="1141"/>
      <c r="G46" s="1141"/>
      <c r="H46" s="1141"/>
      <c r="I46" s="1141"/>
      <c r="J46" s="1141"/>
      <c r="K46" s="1135"/>
      <c r="L46" s="1141"/>
      <c r="M46" s="1141"/>
      <c r="N46" s="1141"/>
      <c r="O46" s="1141"/>
      <c r="P46" s="1141"/>
      <c r="Q46" s="1141"/>
      <c r="R46" s="1141"/>
      <c r="S46" s="1141"/>
      <c r="T46" s="1141"/>
      <c r="U46" s="1135"/>
      <c r="V46" s="1141"/>
      <c r="W46" s="1141"/>
      <c r="X46" s="1141"/>
      <c r="Y46" s="1141"/>
      <c r="Z46" s="1141"/>
      <c r="AA46" s="1141"/>
      <c r="AB46" s="1141"/>
      <c r="AC46" s="1141"/>
      <c r="AD46" s="1141"/>
      <c r="AE46" s="1135"/>
      <c r="AF46" s="1141"/>
      <c r="AG46" s="1135"/>
      <c r="AH46" s="1141"/>
      <c r="AI46" s="1141"/>
      <c r="AJ46" s="1142"/>
      <c r="AK46" s="1137">
        <f t="shared" si="2"/>
        <v>0</v>
      </c>
      <c r="AL46" s="1137">
        <f t="shared" si="2"/>
        <v>0</v>
      </c>
    </row>
    <row r="47" spans="1:38" hidden="1" outlineLevel="2" x14ac:dyDescent="0.3">
      <c r="A47" s="1130"/>
      <c r="B47" s="1138"/>
      <c r="C47" s="1139"/>
      <c r="D47" s="1140"/>
      <c r="E47" s="1134"/>
      <c r="F47" s="1141"/>
      <c r="G47" s="1141"/>
      <c r="H47" s="1141"/>
      <c r="I47" s="1141"/>
      <c r="J47" s="1141"/>
      <c r="K47" s="1135"/>
      <c r="L47" s="1141"/>
      <c r="M47" s="1141"/>
      <c r="N47" s="1141"/>
      <c r="O47" s="1141"/>
      <c r="P47" s="1141"/>
      <c r="Q47" s="1141"/>
      <c r="R47" s="1141"/>
      <c r="S47" s="1141"/>
      <c r="T47" s="1141"/>
      <c r="U47" s="1135"/>
      <c r="V47" s="1141"/>
      <c r="W47" s="1141"/>
      <c r="X47" s="1141"/>
      <c r="Y47" s="1141"/>
      <c r="Z47" s="1141"/>
      <c r="AA47" s="1141"/>
      <c r="AB47" s="1141"/>
      <c r="AC47" s="1141"/>
      <c r="AD47" s="1141"/>
      <c r="AE47" s="1135"/>
      <c r="AF47" s="1141"/>
      <c r="AG47" s="1135"/>
      <c r="AH47" s="1141"/>
      <c r="AI47" s="1141"/>
      <c r="AJ47" s="1142"/>
      <c r="AK47" s="1137">
        <f t="shared" si="2"/>
        <v>0</v>
      </c>
      <c r="AL47" s="1137">
        <f t="shared" si="2"/>
        <v>0</v>
      </c>
    </row>
    <row r="48" spans="1:38" hidden="1" outlineLevel="2" x14ac:dyDescent="0.3">
      <c r="A48" s="1130"/>
      <c r="B48" s="1138"/>
      <c r="C48" s="1139"/>
      <c r="D48" s="1140"/>
      <c r="E48" s="1134"/>
      <c r="F48" s="1141"/>
      <c r="G48" s="1141"/>
      <c r="H48" s="1141"/>
      <c r="I48" s="1141"/>
      <c r="J48" s="1141"/>
      <c r="K48" s="1135"/>
      <c r="L48" s="1141"/>
      <c r="M48" s="1141"/>
      <c r="N48" s="1141"/>
      <c r="O48" s="1141"/>
      <c r="P48" s="1141"/>
      <c r="Q48" s="1141"/>
      <c r="R48" s="1141"/>
      <c r="S48" s="1141"/>
      <c r="T48" s="1141"/>
      <c r="U48" s="1135"/>
      <c r="V48" s="1141"/>
      <c r="W48" s="1141"/>
      <c r="X48" s="1141"/>
      <c r="Y48" s="1141"/>
      <c r="Z48" s="1141"/>
      <c r="AA48" s="1141"/>
      <c r="AB48" s="1141"/>
      <c r="AC48" s="1141"/>
      <c r="AD48" s="1141"/>
      <c r="AE48" s="1135"/>
      <c r="AF48" s="1141"/>
      <c r="AG48" s="1135"/>
      <c r="AH48" s="1141"/>
      <c r="AI48" s="1141"/>
      <c r="AJ48" s="1142"/>
      <c r="AK48" s="1137">
        <f t="shared" si="2"/>
        <v>0</v>
      </c>
      <c r="AL48" s="1137">
        <f t="shared" si="2"/>
        <v>0</v>
      </c>
    </row>
    <row r="49" spans="1:38" hidden="1" outlineLevel="2" x14ac:dyDescent="0.3">
      <c r="A49" s="1130"/>
      <c r="B49" s="1138"/>
      <c r="C49" s="1139"/>
      <c r="D49" s="1140"/>
      <c r="E49" s="1134"/>
      <c r="F49" s="1141"/>
      <c r="G49" s="1141"/>
      <c r="H49" s="1141"/>
      <c r="I49" s="1141"/>
      <c r="J49" s="1141"/>
      <c r="K49" s="1135"/>
      <c r="L49" s="1141"/>
      <c r="M49" s="1141"/>
      <c r="N49" s="1141"/>
      <c r="O49" s="1141"/>
      <c r="P49" s="1141"/>
      <c r="Q49" s="1141"/>
      <c r="R49" s="1141"/>
      <c r="S49" s="1141"/>
      <c r="T49" s="1141"/>
      <c r="U49" s="1135"/>
      <c r="V49" s="1141"/>
      <c r="W49" s="1141"/>
      <c r="X49" s="1141"/>
      <c r="Y49" s="1141"/>
      <c r="Z49" s="1141"/>
      <c r="AA49" s="1141"/>
      <c r="AB49" s="1141"/>
      <c r="AC49" s="1141"/>
      <c r="AD49" s="1141"/>
      <c r="AE49" s="1135"/>
      <c r="AF49" s="1141"/>
      <c r="AG49" s="1135"/>
      <c r="AH49" s="1141"/>
      <c r="AI49" s="1141"/>
      <c r="AJ49" s="1142"/>
      <c r="AK49" s="1137">
        <f t="shared" si="2"/>
        <v>0</v>
      </c>
      <c r="AL49" s="1137">
        <f t="shared" si="2"/>
        <v>0</v>
      </c>
    </row>
    <row r="50" spans="1:38" hidden="1" outlineLevel="2" x14ac:dyDescent="0.3">
      <c r="A50" s="1130"/>
      <c r="B50" s="1138"/>
      <c r="C50" s="1139"/>
      <c r="D50" s="1140"/>
      <c r="E50" s="1134"/>
      <c r="F50" s="1141"/>
      <c r="G50" s="1141"/>
      <c r="H50" s="1141"/>
      <c r="I50" s="1141"/>
      <c r="J50" s="1141"/>
      <c r="K50" s="1135"/>
      <c r="L50" s="1141"/>
      <c r="M50" s="1141"/>
      <c r="N50" s="1141"/>
      <c r="O50" s="1141"/>
      <c r="P50" s="1141"/>
      <c r="Q50" s="1141"/>
      <c r="R50" s="1141"/>
      <c r="S50" s="1141"/>
      <c r="T50" s="1141"/>
      <c r="U50" s="1135"/>
      <c r="V50" s="1141"/>
      <c r="W50" s="1141"/>
      <c r="X50" s="1141"/>
      <c r="Y50" s="1141"/>
      <c r="Z50" s="1141"/>
      <c r="AA50" s="1141"/>
      <c r="AB50" s="1141"/>
      <c r="AC50" s="1141"/>
      <c r="AD50" s="1141"/>
      <c r="AE50" s="1135"/>
      <c r="AF50" s="1141"/>
      <c r="AG50" s="1135"/>
      <c r="AH50" s="1141"/>
      <c r="AI50" s="1141"/>
      <c r="AJ50" s="1142"/>
      <c r="AK50" s="1137">
        <f t="shared" si="2"/>
        <v>0</v>
      </c>
      <c r="AL50" s="1137">
        <f t="shared" si="2"/>
        <v>0</v>
      </c>
    </row>
    <row r="51" spans="1:38" hidden="1" outlineLevel="2" x14ac:dyDescent="0.3">
      <c r="A51" s="1130"/>
      <c r="B51" s="1138"/>
      <c r="C51" s="1139"/>
      <c r="D51" s="1140"/>
      <c r="E51" s="1134"/>
      <c r="F51" s="1141"/>
      <c r="G51" s="1141"/>
      <c r="H51" s="1141"/>
      <c r="I51" s="1141"/>
      <c r="J51" s="1141"/>
      <c r="K51" s="1135"/>
      <c r="L51" s="1141"/>
      <c r="M51" s="1141"/>
      <c r="N51" s="1141"/>
      <c r="O51" s="1141"/>
      <c r="P51" s="1141"/>
      <c r="Q51" s="1141"/>
      <c r="R51" s="1141"/>
      <c r="S51" s="1141"/>
      <c r="T51" s="1141"/>
      <c r="U51" s="1135"/>
      <c r="V51" s="1141"/>
      <c r="W51" s="1141"/>
      <c r="X51" s="1141"/>
      <c r="Y51" s="1141"/>
      <c r="Z51" s="1141"/>
      <c r="AA51" s="1141"/>
      <c r="AB51" s="1141"/>
      <c r="AC51" s="1141"/>
      <c r="AD51" s="1141"/>
      <c r="AE51" s="1135"/>
      <c r="AF51" s="1141"/>
      <c r="AG51" s="1135"/>
      <c r="AH51" s="1141"/>
      <c r="AI51" s="1141"/>
      <c r="AJ51" s="1142"/>
      <c r="AK51" s="1137">
        <f t="shared" si="2"/>
        <v>0</v>
      </c>
      <c r="AL51" s="1137">
        <f t="shared" si="2"/>
        <v>0</v>
      </c>
    </row>
    <row r="52" spans="1:38" hidden="1" outlineLevel="2" x14ac:dyDescent="0.3">
      <c r="A52" s="1130"/>
      <c r="B52" s="1138"/>
      <c r="C52" s="1139"/>
      <c r="D52" s="1140"/>
      <c r="E52" s="1134"/>
      <c r="F52" s="1141"/>
      <c r="G52" s="1141"/>
      <c r="H52" s="1141"/>
      <c r="I52" s="1141"/>
      <c r="J52" s="1141"/>
      <c r="K52" s="1135"/>
      <c r="L52" s="1141"/>
      <c r="M52" s="1141"/>
      <c r="N52" s="1141"/>
      <c r="O52" s="1141"/>
      <c r="P52" s="1141"/>
      <c r="Q52" s="1141"/>
      <c r="R52" s="1141"/>
      <c r="S52" s="1141"/>
      <c r="T52" s="1141"/>
      <c r="U52" s="1135"/>
      <c r="V52" s="1141"/>
      <c r="W52" s="1141"/>
      <c r="X52" s="1141"/>
      <c r="Y52" s="1141"/>
      <c r="Z52" s="1141"/>
      <c r="AA52" s="1141"/>
      <c r="AB52" s="1141"/>
      <c r="AC52" s="1141"/>
      <c r="AD52" s="1141"/>
      <c r="AE52" s="1135"/>
      <c r="AF52" s="1141"/>
      <c r="AG52" s="1135"/>
      <c r="AH52" s="1141"/>
      <c r="AI52" s="1141"/>
      <c r="AJ52" s="1142"/>
      <c r="AK52" s="1137">
        <f t="shared" si="2"/>
        <v>0</v>
      </c>
      <c r="AL52" s="1137">
        <f t="shared" si="2"/>
        <v>0</v>
      </c>
    </row>
    <row r="53" spans="1:38" hidden="1" outlineLevel="2" x14ac:dyDescent="0.3">
      <c r="A53" s="1130"/>
      <c r="B53" s="1138"/>
      <c r="C53" s="1139"/>
      <c r="D53" s="1140"/>
      <c r="E53" s="1134"/>
      <c r="F53" s="1141"/>
      <c r="G53" s="1141"/>
      <c r="H53" s="1141"/>
      <c r="I53" s="1141"/>
      <c r="J53" s="1141"/>
      <c r="K53" s="1135"/>
      <c r="L53" s="1141"/>
      <c r="M53" s="1141"/>
      <c r="N53" s="1141"/>
      <c r="O53" s="1141"/>
      <c r="P53" s="1141"/>
      <c r="Q53" s="1141"/>
      <c r="R53" s="1141"/>
      <c r="S53" s="1141"/>
      <c r="T53" s="1141"/>
      <c r="U53" s="1135"/>
      <c r="V53" s="1141"/>
      <c r="W53" s="1141"/>
      <c r="X53" s="1141"/>
      <c r="Y53" s="1141"/>
      <c r="Z53" s="1141"/>
      <c r="AA53" s="1141"/>
      <c r="AB53" s="1141"/>
      <c r="AC53" s="1141"/>
      <c r="AD53" s="1141"/>
      <c r="AE53" s="1135"/>
      <c r="AF53" s="1141"/>
      <c r="AG53" s="1135"/>
      <c r="AH53" s="1141"/>
      <c r="AI53" s="1141"/>
      <c r="AJ53" s="1142"/>
      <c r="AK53" s="1137">
        <f t="shared" si="2"/>
        <v>0</v>
      </c>
      <c r="AL53" s="1137">
        <f t="shared" si="2"/>
        <v>0</v>
      </c>
    </row>
    <row r="54" spans="1:38" hidden="1" outlineLevel="2" x14ac:dyDescent="0.3">
      <c r="A54" s="1130"/>
      <c r="B54" s="1138"/>
      <c r="C54" s="1139"/>
      <c r="D54" s="1140"/>
      <c r="E54" s="1134"/>
      <c r="F54" s="1141"/>
      <c r="G54" s="1141"/>
      <c r="H54" s="1141"/>
      <c r="I54" s="1141"/>
      <c r="J54" s="1141"/>
      <c r="K54" s="1135"/>
      <c r="L54" s="1141"/>
      <c r="M54" s="1141"/>
      <c r="N54" s="1141"/>
      <c r="O54" s="1141"/>
      <c r="P54" s="1141"/>
      <c r="Q54" s="1141"/>
      <c r="R54" s="1141"/>
      <c r="S54" s="1141"/>
      <c r="T54" s="1141"/>
      <c r="U54" s="1135"/>
      <c r="V54" s="1141"/>
      <c r="W54" s="1141"/>
      <c r="X54" s="1141"/>
      <c r="Y54" s="1141"/>
      <c r="Z54" s="1141"/>
      <c r="AA54" s="1141"/>
      <c r="AB54" s="1141"/>
      <c r="AC54" s="1141"/>
      <c r="AD54" s="1141"/>
      <c r="AE54" s="1135"/>
      <c r="AF54" s="1141"/>
      <c r="AG54" s="1135"/>
      <c r="AH54" s="1141"/>
      <c r="AI54" s="1141"/>
      <c r="AJ54" s="1142"/>
      <c r="AK54" s="1137">
        <f t="shared" si="2"/>
        <v>0</v>
      </c>
      <c r="AL54" s="1137">
        <f t="shared" si="2"/>
        <v>0</v>
      </c>
    </row>
    <row r="55" spans="1:38" hidden="1" outlineLevel="2" x14ac:dyDescent="0.3">
      <c r="A55" s="1130"/>
      <c r="B55" s="1138"/>
      <c r="C55" s="1139"/>
      <c r="D55" s="1140"/>
      <c r="E55" s="1134"/>
      <c r="F55" s="1141"/>
      <c r="G55" s="1141"/>
      <c r="H55" s="1141"/>
      <c r="I55" s="1141"/>
      <c r="J55" s="1141"/>
      <c r="K55" s="1135"/>
      <c r="L55" s="1141"/>
      <c r="M55" s="1141"/>
      <c r="N55" s="1141"/>
      <c r="O55" s="1141"/>
      <c r="P55" s="1141"/>
      <c r="Q55" s="1141"/>
      <c r="R55" s="1141"/>
      <c r="S55" s="1141"/>
      <c r="T55" s="1141"/>
      <c r="U55" s="1135"/>
      <c r="V55" s="1141"/>
      <c r="W55" s="1141"/>
      <c r="X55" s="1141"/>
      <c r="Y55" s="1141"/>
      <c r="Z55" s="1141"/>
      <c r="AA55" s="1141"/>
      <c r="AB55" s="1141"/>
      <c r="AC55" s="1141"/>
      <c r="AD55" s="1141"/>
      <c r="AE55" s="1135"/>
      <c r="AF55" s="1141"/>
      <c r="AG55" s="1135"/>
      <c r="AH55" s="1141"/>
      <c r="AI55" s="1141"/>
      <c r="AJ55" s="1142"/>
      <c r="AK55" s="1137">
        <f t="shared" si="2"/>
        <v>0</v>
      </c>
      <c r="AL55" s="1137">
        <f t="shared" si="2"/>
        <v>0</v>
      </c>
    </row>
    <row r="56" spans="1:38" hidden="1" outlineLevel="2" x14ac:dyDescent="0.3">
      <c r="A56" s="1130"/>
      <c r="B56" s="1138"/>
      <c r="C56" s="1139"/>
      <c r="D56" s="1140"/>
      <c r="E56" s="1134"/>
      <c r="F56" s="1141"/>
      <c r="G56" s="1141"/>
      <c r="H56" s="1141"/>
      <c r="I56" s="1141"/>
      <c r="J56" s="1141"/>
      <c r="K56" s="1135"/>
      <c r="L56" s="1141"/>
      <c r="M56" s="1141"/>
      <c r="N56" s="1141"/>
      <c r="O56" s="1141"/>
      <c r="P56" s="1141"/>
      <c r="Q56" s="1141"/>
      <c r="R56" s="1141"/>
      <c r="S56" s="1141"/>
      <c r="T56" s="1141"/>
      <c r="U56" s="1135"/>
      <c r="V56" s="1141"/>
      <c r="W56" s="1141"/>
      <c r="X56" s="1141"/>
      <c r="Y56" s="1141"/>
      <c r="Z56" s="1141"/>
      <c r="AA56" s="1141"/>
      <c r="AB56" s="1141"/>
      <c r="AC56" s="1141"/>
      <c r="AD56" s="1141"/>
      <c r="AE56" s="1135"/>
      <c r="AF56" s="1141"/>
      <c r="AG56" s="1135"/>
      <c r="AH56" s="1141"/>
      <c r="AI56" s="1141"/>
      <c r="AJ56" s="1142"/>
      <c r="AK56" s="1137">
        <f t="shared" si="2"/>
        <v>0</v>
      </c>
      <c r="AL56" s="1137">
        <f t="shared" si="2"/>
        <v>0</v>
      </c>
    </row>
    <row r="57" spans="1:38" hidden="1" outlineLevel="2" x14ac:dyDescent="0.3">
      <c r="A57" s="1130"/>
      <c r="B57" s="1138"/>
      <c r="C57" s="1139"/>
      <c r="D57" s="1140"/>
      <c r="E57" s="1134"/>
      <c r="F57" s="1141"/>
      <c r="G57" s="1141"/>
      <c r="H57" s="1141"/>
      <c r="I57" s="1141"/>
      <c r="J57" s="1141"/>
      <c r="K57" s="1135"/>
      <c r="L57" s="1141"/>
      <c r="M57" s="1141"/>
      <c r="N57" s="1141"/>
      <c r="O57" s="1141"/>
      <c r="P57" s="1141"/>
      <c r="Q57" s="1141"/>
      <c r="R57" s="1141"/>
      <c r="S57" s="1141"/>
      <c r="T57" s="1141"/>
      <c r="U57" s="1135"/>
      <c r="V57" s="1141"/>
      <c r="W57" s="1141"/>
      <c r="X57" s="1141"/>
      <c r="Y57" s="1141"/>
      <c r="Z57" s="1141"/>
      <c r="AA57" s="1141"/>
      <c r="AB57" s="1141"/>
      <c r="AC57" s="1141"/>
      <c r="AD57" s="1141"/>
      <c r="AE57" s="1135"/>
      <c r="AF57" s="1141"/>
      <c r="AG57" s="1135"/>
      <c r="AH57" s="1141"/>
      <c r="AI57" s="1141"/>
      <c r="AJ57" s="1142"/>
      <c r="AK57" s="1137">
        <f t="shared" si="2"/>
        <v>0</v>
      </c>
      <c r="AL57" s="1137">
        <f t="shared" si="2"/>
        <v>0</v>
      </c>
    </row>
    <row r="58" spans="1:38" hidden="1" outlineLevel="2" x14ac:dyDescent="0.3">
      <c r="A58" s="1130"/>
      <c r="B58" s="1138"/>
      <c r="C58" s="1139"/>
      <c r="D58" s="1140"/>
      <c r="E58" s="1134"/>
      <c r="F58" s="1141"/>
      <c r="G58" s="1141"/>
      <c r="H58" s="1141"/>
      <c r="I58" s="1141"/>
      <c r="J58" s="1141"/>
      <c r="K58" s="1135"/>
      <c r="L58" s="1141"/>
      <c r="M58" s="1141"/>
      <c r="N58" s="1141"/>
      <c r="O58" s="1141"/>
      <c r="P58" s="1141"/>
      <c r="Q58" s="1141"/>
      <c r="R58" s="1141"/>
      <c r="S58" s="1141"/>
      <c r="T58" s="1141"/>
      <c r="U58" s="1135"/>
      <c r="V58" s="1141"/>
      <c r="W58" s="1141"/>
      <c r="X58" s="1141"/>
      <c r="Y58" s="1141"/>
      <c r="Z58" s="1141"/>
      <c r="AA58" s="1141"/>
      <c r="AB58" s="1141"/>
      <c r="AC58" s="1141"/>
      <c r="AD58" s="1141"/>
      <c r="AE58" s="1135"/>
      <c r="AF58" s="1141"/>
      <c r="AG58" s="1135"/>
      <c r="AH58" s="1141"/>
      <c r="AI58" s="1141"/>
      <c r="AJ58" s="1142"/>
      <c r="AK58" s="1137">
        <f t="shared" si="2"/>
        <v>0</v>
      </c>
      <c r="AL58" s="1137">
        <f t="shared" si="2"/>
        <v>0</v>
      </c>
    </row>
    <row r="59" spans="1:38" hidden="1" outlineLevel="2" x14ac:dyDescent="0.3">
      <c r="A59" s="1130"/>
      <c r="B59" s="1138"/>
      <c r="C59" s="1139"/>
      <c r="D59" s="1140"/>
      <c r="E59" s="1134"/>
      <c r="F59" s="1141"/>
      <c r="G59" s="1141"/>
      <c r="H59" s="1141"/>
      <c r="I59" s="1141"/>
      <c r="J59" s="1141"/>
      <c r="K59" s="1135"/>
      <c r="L59" s="1141"/>
      <c r="M59" s="1141"/>
      <c r="N59" s="1141"/>
      <c r="O59" s="1141"/>
      <c r="P59" s="1141"/>
      <c r="Q59" s="1141"/>
      <c r="R59" s="1141"/>
      <c r="S59" s="1141"/>
      <c r="T59" s="1141"/>
      <c r="U59" s="1135"/>
      <c r="V59" s="1141"/>
      <c r="W59" s="1141"/>
      <c r="X59" s="1141"/>
      <c r="Y59" s="1141"/>
      <c r="Z59" s="1141"/>
      <c r="AA59" s="1141"/>
      <c r="AB59" s="1141"/>
      <c r="AC59" s="1141"/>
      <c r="AD59" s="1141"/>
      <c r="AE59" s="1135"/>
      <c r="AF59" s="1141"/>
      <c r="AG59" s="1135"/>
      <c r="AH59" s="1141"/>
      <c r="AI59" s="1141"/>
      <c r="AJ59" s="1142"/>
      <c r="AK59" s="1137">
        <f t="shared" si="2"/>
        <v>0</v>
      </c>
      <c r="AL59" s="1137">
        <f t="shared" si="2"/>
        <v>0</v>
      </c>
    </row>
    <row r="60" spans="1:38" hidden="1" outlineLevel="2" x14ac:dyDescent="0.3">
      <c r="A60" s="1130"/>
      <c r="B60" s="1138"/>
      <c r="C60" s="1139"/>
      <c r="D60" s="1140"/>
      <c r="E60" s="1134"/>
      <c r="F60" s="1141"/>
      <c r="G60" s="1141"/>
      <c r="H60" s="1141"/>
      <c r="I60" s="1141"/>
      <c r="J60" s="1141"/>
      <c r="K60" s="1135"/>
      <c r="L60" s="1141"/>
      <c r="M60" s="1141"/>
      <c r="N60" s="1141"/>
      <c r="O60" s="1141"/>
      <c r="P60" s="1141"/>
      <c r="Q60" s="1141"/>
      <c r="R60" s="1141"/>
      <c r="S60" s="1141"/>
      <c r="T60" s="1141"/>
      <c r="U60" s="1135"/>
      <c r="V60" s="1141"/>
      <c r="W60" s="1141"/>
      <c r="X60" s="1141"/>
      <c r="Y60" s="1141"/>
      <c r="Z60" s="1141"/>
      <c r="AA60" s="1141"/>
      <c r="AB60" s="1141"/>
      <c r="AC60" s="1141"/>
      <c r="AD60" s="1141"/>
      <c r="AE60" s="1135"/>
      <c r="AF60" s="1141"/>
      <c r="AG60" s="1135"/>
      <c r="AH60" s="1141"/>
      <c r="AI60" s="1141"/>
      <c r="AJ60" s="1142"/>
      <c r="AK60" s="1137">
        <f t="shared" si="2"/>
        <v>0</v>
      </c>
      <c r="AL60" s="1137">
        <f t="shared" si="2"/>
        <v>0</v>
      </c>
    </row>
    <row r="61" spans="1:38" hidden="1" outlineLevel="2" x14ac:dyDescent="0.3">
      <c r="A61" s="1130"/>
      <c r="B61" s="1138"/>
      <c r="C61" s="1139"/>
      <c r="D61" s="1140"/>
      <c r="E61" s="1134"/>
      <c r="F61" s="1141"/>
      <c r="G61" s="1141"/>
      <c r="H61" s="1141"/>
      <c r="I61" s="1141"/>
      <c r="J61" s="1141"/>
      <c r="K61" s="1135"/>
      <c r="L61" s="1141"/>
      <c r="M61" s="1141"/>
      <c r="N61" s="1141"/>
      <c r="O61" s="1141"/>
      <c r="P61" s="1141"/>
      <c r="Q61" s="1141"/>
      <c r="R61" s="1141"/>
      <c r="S61" s="1141"/>
      <c r="T61" s="1141"/>
      <c r="U61" s="1135"/>
      <c r="V61" s="1141"/>
      <c r="W61" s="1141"/>
      <c r="X61" s="1141"/>
      <c r="Y61" s="1141"/>
      <c r="Z61" s="1141"/>
      <c r="AA61" s="1141"/>
      <c r="AB61" s="1141"/>
      <c r="AC61" s="1141"/>
      <c r="AD61" s="1141"/>
      <c r="AE61" s="1135"/>
      <c r="AF61" s="1141"/>
      <c r="AG61" s="1135"/>
      <c r="AH61" s="1141"/>
      <c r="AI61" s="1141"/>
      <c r="AJ61" s="1142"/>
      <c r="AK61" s="1137">
        <f t="shared" si="2"/>
        <v>0</v>
      </c>
      <c r="AL61" s="1137">
        <f t="shared" si="2"/>
        <v>0</v>
      </c>
    </row>
    <row r="62" spans="1:38" hidden="1" outlineLevel="2" x14ac:dyDescent="0.3">
      <c r="A62" s="1130"/>
      <c r="B62" s="1138"/>
      <c r="C62" s="1139"/>
      <c r="D62" s="1140"/>
      <c r="E62" s="1134"/>
      <c r="F62" s="1141"/>
      <c r="G62" s="1141"/>
      <c r="H62" s="1141"/>
      <c r="I62" s="1141"/>
      <c r="J62" s="1141"/>
      <c r="K62" s="1135"/>
      <c r="L62" s="1141"/>
      <c r="M62" s="1141"/>
      <c r="N62" s="1141"/>
      <c r="O62" s="1141"/>
      <c r="P62" s="1141"/>
      <c r="Q62" s="1141"/>
      <c r="R62" s="1141"/>
      <c r="S62" s="1141"/>
      <c r="T62" s="1141"/>
      <c r="U62" s="1135"/>
      <c r="V62" s="1141"/>
      <c r="W62" s="1141"/>
      <c r="X62" s="1141"/>
      <c r="Y62" s="1141"/>
      <c r="Z62" s="1141"/>
      <c r="AA62" s="1141"/>
      <c r="AB62" s="1141"/>
      <c r="AC62" s="1141"/>
      <c r="AD62" s="1141"/>
      <c r="AE62" s="1135"/>
      <c r="AF62" s="1141"/>
      <c r="AG62" s="1135"/>
      <c r="AH62" s="1141"/>
      <c r="AI62" s="1141"/>
      <c r="AJ62" s="1142"/>
      <c r="AK62" s="1137">
        <f t="shared" si="2"/>
        <v>0</v>
      </c>
      <c r="AL62" s="1137">
        <f t="shared" si="2"/>
        <v>0</v>
      </c>
    </row>
    <row r="63" spans="1:38" hidden="1" outlineLevel="2" x14ac:dyDescent="0.3">
      <c r="A63" s="1130"/>
      <c r="B63" s="1138"/>
      <c r="C63" s="1139"/>
      <c r="D63" s="1140"/>
      <c r="E63" s="1134"/>
      <c r="F63" s="1141"/>
      <c r="G63" s="1141"/>
      <c r="H63" s="1141"/>
      <c r="I63" s="1141"/>
      <c r="J63" s="1141"/>
      <c r="K63" s="1135"/>
      <c r="L63" s="1141"/>
      <c r="M63" s="1141"/>
      <c r="N63" s="1141"/>
      <c r="O63" s="1141"/>
      <c r="P63" s="1141"/>
      <c r="Q63" s="1141"/>
      <c r="R63" s="1141"/>
      <c r="S63" s="1141"/>
      <c r="T63" s="1141"/>
      <c r="U63" s="1135"/>
      <c r="V63" s="1141"/>
      <c r="W63" s="1141"/>
      <c r="X63" s="1141"/>
      <c r="Y63" s="1141"/>
      <c r="Z63" s="1141"/>
      <c r="AA63" s="1141"/>
      <c r="AB63" s="1141"/>
      <c r="AC63" s="1141"/>
      <c r="AD63" s="1141"/>
      <c r="AE63" s="1135"/>
      <c r="AF63" s="1141"/>
      <c r="AG63" s="1135"/>
      <c r="AH63" s="1141"/>
      <c r="AI63" s="1141"/>
      <c r="AJ63" s="1142"/>
      <c r="AK63" s="1137">
        <f t="shared" si="2"/>
        <v>0</v>
      </c>
      <c r="AL63" s="1137">
        <f t="shared" si="2"/>
        <v>0</v>
      </c>
    </row>
    <row r="64" spans="1:38" hidden="1" outlineLevel="2" x14ac:dyDescent="0.3">
      <c r="A64" s="1130"/>
      <c r="B64" s="1138"/>
      <c r="C64" s="1139"/>
      <c r="D64" s="1140"/>
      <c r="E64" s="1134"/>
      <c r="F64" s="1141"/>
      <c r="G64" s="1141"/>
      <c r="H64" s="1141"/>
      <c r="I64" s="1141"/>
      <c r="J64" s="1141"/>
      <c r="K64" s="1135"/>
      <c r="L64" s="1141"/>
      <c r="M64" s="1141"/>
      <c r="N64" s="1141"/>
      <c r="O64" s="1141"/>
      <c r="P64" s="1141"/>
      <c r="Q64" s="1141"/>
      <c r="R64" s="1141"/>
      <c r="S64" s="1141"/>
      <c r="T64" s="1141"/>
      <c r="U64" s="1135"/>
      <c r="V64" s="1141"/>
      <c r="W64" s="1141"/>
      <c r="X64" s="1141"/>
      <c r="Y64" s="1141"/>
      <c r="Z64" s="1141"/>
      <c r="AA64" s="1141"/>
      <c r="AB64" s="1141"/>
      <c r="AC64" s="1141"/>
      <c r="AD64" s="1141"/>
      <c r="AE64" s="1135"/>
      <c r="AF64" s="1141"/>
      <c r="AG64" s="1135"/>
      <c r="AH64" s="1141"/>
      <c r="AI64" s="1141"/>
      <c r="AJ64" s="1142"/>
      <c r="AK64" s="1137">
        <f t="shared" si="2"/>
        <v>0</v>
      </c>
      <c r="AL64" s="1137">
        <f t="shared" si="2"/>
        <v>0</v>
      </c>
    </row>
    <row r="65" spans="1:38" hidden="1" outlineLevel="2" x14ac:dyDescent="0.3">
      <c r="A65" s="1130"/>
      <c r="B65" s="1138"/>
      <c r="C65" s="1139"/>
      <c r="D65" s="1140"/>
      <c r="E65" s="1134"/>
      <c r="F65" s="1141"/>
      <c r="G65" s="1141"/>
      <c r="H65" s="1141"/>
      <c r="I65" s="1141"/>
      <c r="J65" s="1141"/>
      <c r="K65" s="1135"/>
      <c r="L65" s="1141"/>
      <c r="M65" s="1141"/>
      <c r="N65" s="1141"/>
      <c r="O65" s="1141"/>
      <c r="P65" s="1141"/>
      <c r="Q65" s="1141"/>
      <c r="R65" s="1141"/>
      <c r="S65" s="1141"/>
      <c r="T65" s="1141"/>
      <c r="U65" s="1135"/>
      <c r="V65" s="1141"/>
      <c r="W65" s="1141"/>
      <c r="X65" s="1141"/>
      <c r="Y65" s="1141"/>
      <c r="Z65" s="1141"/>
      <c r="AA65" s="1141"/>
      <c r="AB65" s="1141"/>
      <c r="AC65" s="1141"/>
      <c r="AD65" s="1141"/>
      <c r="AE65" s="1135"/>
      <c r="AF65" s="1141"/>
      <c r="AG65" s="1135"/>
      <c r="AH65" s="1141"/>
      <c r="AI65" s="1141"/>
      <c r="AJ65" s="1142"/>
      <c r="AK65" s="1137">
        <f t="shared" si="2"/>
        <v>0</v>
      </c>
      <c r="AL65" s="1137">
        <f t="shared" si="2"/>
        <v>0</v>
      </c>
    </row>
    <row r="66" spans="1:38" hidden="1" outlineLevel="2" x14ac:dyDescent="0.3">
      <c r="A66" s="1130"/>
      <c r="B66" s="1138"/>
      <c r="C66" s="1139"/>
      <c r="D66" s="1140"/>
      <c r="E66" s="1134"/>
      <c r="F66" s="1141"/>
      <c r="G66" s="1141"/>
      <c r="H66" s="1141"/>
      <c r="I66" s="1141"/>
      <c r="J66" s="1141"/>
      <c r="K66" s="1135"/>
      <c r="L66" s="1141"/>
      <c r="M66" s="1141"/>
      <c r="N66" s="1141"/>
      <c r="O66" s="1141"/>
      <c r="P66" s="1141"/>
      <c r="Q66" s="1141"/>
      <c r="R66" s="1141"/>
      <c r="S66" s="1141"/>
      <c r="T66" s="1141"/>
      <c r="U66" s="1135"/>
      <c r="V66" s="1141"/>
      <c r="W66" s="1141"/>
      <c r="X66" s="1141"/>
      <c r="Y66" s="1141"/>
      <c r="Z66" s="1141"/>
      <c r="AA66" s="1141"/>
      <c r="AB66" s="1141"/>
      <c r="AC66" s="1141"/>
      <c r="AD66" s="1141"/>
      <c r="AE66" s="1135"/>
      <c r="AF66" s="1141"/>
      <c r="AG66" s="1135"/>
      <c r="AH66" s="1141"/>
      <c r="AI66" s="1141"/>
      <c r="AJ66" s="1142"/>
      <c r="AK66" s="1137">
        <f t="shared" si="2"/>
        <v>0</v>
      </c>
      <c r="AL66" s="1137">
        <f t="shared" si="2"/>
        <v>0</v>
      </c>
    </row>
    <row r="67" spans="1:38" hidden="1" outlineLevel="2" x14ac:dyDescent="0.3">
      <c r="A67" s="1130"/>
      <c r="B67" s="1138"/>
      <c r="C67" s="1139"/>
      <c r="D67" s="1140"/>
      <c r="E67" s="1134"/>
      <c r="F67" s="1141"/>
      <c r="G67" s="1141"/>
      <c r="H67" s="1141"/>
      <c r="I67" s="1141"/>
      <c r="J67" s="1141"/>
      <c r="K67" s="1135"/>
      <c r="L67" s="1141"/>
      <c r="M67" s="1141"/>
      <c r="N67" s="1141"/>
      <c r="O67" s="1141"/>
      <c r="P67" s="1141"/>
      <c r="Q67" s="1141"/>
      <c r="R67" s="1141"/>
      <c r="S67" s="1141"/>
      <c r="T67" s="1141"/>
      <c r="U67" s="1135"/>
      <c r="V67" s="1141"/>
      <c r="W67" s="1141"/>
      <c r="X67" s="1141"/>
      <c r="Y67" s="1141"/>
      <c r="Z67" s="1141"/>
      <c r="AA67" s="1141"/>
      <c r="AB67" s="1141"/>
      <c r="AC67" s="1141"/>
      <c r="AD67" s="1141"/>
      <c r="AE67" s="1135"/>
      <c r="AF67" s="1141"/>
      <c r="AG67" s="1135"/>
      <c r="AH67" s="1141"/>
      <c r="AI67" s="1141"/>
      <c r="AJ67" s="1142"/>
      <c r="AK67" s="1137">
        <f t="shared" si="2"/>
        <v>0</v>
      </c>
      <c r="AL67" s="1137">
        <f t="shared" si="2"/>
        <v>0</v>
      </c>
    </row>
    <row r="68" spans="1:38" hidden="1" outlineLevel="2" x14ac:dyDescent="0.3">
      <c r="A68" s="1130"/>
      <c r="B68" s="1138"/>
      <c r="C68" s="1139"/>
      <c r="D68" s="1140"/>
      <c r="E68" s="1134"/>
      <c r="F68" s="1141"/>
      <c r="G68" s="1141"/>
      <c r="H68" s="1141"/>
      <c r="I68" s="1141"/>
      <c r="J68" s="1141"/>
      <c r="K68" s="1135"/>
      <c r="L68" s="1141"/>
      <c r="M68" s="1141"/>
      <c r="N68" s="1141"/>
      <c r="O68" s="1141"/>
      <c r="P68" s="1141"/>
      <c r="Q68" s="1141"/>
      <c r="R68" s="1141"/>
      <c r="S68" s="1141"/>
      <c r="T68" s="1141"/>
      <c r="U68" s="1135"/>
      <c r="V68" s="1141"/>
      <c r="W68" s="1141"/>
      <c r="X68" s="1141"/>
      <c r="Y68" s="1141"/>
      <c r="Z68" s="1141"/>
      <c r="AA68" s="1141"/>
      <c r="AB68" s="1141"/>
      <c r="AC68" s="1141"/>
      <c r="AD68" s="1141"/>
      <c r="AE68" s="1135"/>
      <c r="AF68" s="1141"/>
      <c r="AG68" s="1135"/>
      <c r="AH68" s="1141"/>
      <c r="AI68" s="1141"/>
      <c r="AJ68" s="1142"/>
      <c r="AK68" s="1137">
        <f t="shared" si="2"/>
        <v>0</v>
      </c>
      <c r="AL68" s="1137">
        <f t="shared" si="2"/>
        <v>0</v>
      </c>
    </row>
    <row r="69" spans="1:38" hidden="1" outlineLevel="2" x14ac:dyDescent="0.3">
      <c r="A69" s="1130"/>
      <c r="B69" s="1138"/>
      <c r="C69" s="1139"/>
      <c r="D69" s="1140"/>
      <c r="E69" s="1134"/>
      <c r="F69" s="1141"/>
      <c r="G69" s="1141"/>
      <c r="H69" s="1141"/>
      <c r="I69" s="1141"/>
      <c r="J69" s="1141"/>
      <c r="K69" s="1135"/>
      <c r="L69" s="1141"/>
      <c r="M69" s="1141"/>
      <c r="N69" s="1141"/>
      <c r="O69" s="1141"/>
      <c r="P69" s="1141"/>
      <c r="Q69" s="1141"/>
      <c r="R69" s="1141"/>
      <c r="S69" s="1141"/>
      <c r="T69" s="1141"/>
      <c r="U69" s="1135"/>
      <c r="V69" s="1141"/>
      <c r="W69" s="1141"/>
      <c r="X69" s="1141"/>
      <c r="Y69" s="1141"/>
      <c r="Z69" s="1141"/>
      <c r="AA69" s="1141"/>
      <c r="AB69" s="1141"/>
      <c r="AC69" s="1141"/>
      <c r="AD69" s="1141"/>
      <c r="AE69" s="1135"/>
      <c r="AF69" s="1141"/>
      <c r="AG69" s="1135"/>
      <c r="AH69" s="1141"/>
      <c r="AI69" s="1141"/>
      <c r="AJ69" s="1142"/>
      <c r="AK69" s="1137">
        <f t="shared" si="2"/>
        <v>0</v>
      </c>
      <c r="AL69" s="1137">
        <f t="shared" si="2"/>
        <v>0</v>
      </c>
    </row>
    <row r="70" spans="1:38" hidden="1" outlineLevel="2" x14ac:dyDescent="0.3">
      <c r="A70" s="1130"/>
      <c r="B70" s="1138"/>
      <c r="C70" s="1139"/>
      <c r="D70" s="1140"/>
      <c r="E70" s="1134"/>
      <c r="F70" s="1141"/>
      <c r="G70" s="1141"/>
      <c r="H70" s="1141"/>
      <c r="I70" s="1141"/>
      <c r="J70" s="1141"/>
      <c r="K70" s="1135"/>
      <c r="L70" s="1141"/>
      <c r="M70" s="1141"/>
      <c r="N70" s="1141"/>
      <c r="O70" s="1141"/>
      <c r="P70" s="1141"/>
      <c r="Q70" s="1141"/>
      <c r="R70" s="1141"/>
      <c r="S70" s="1141"/>
      <c r="T70" s="1141"/>
      <c r="U70" s="1135"/>
      <c r="V70" s="1141"/>
      <c r="W70" s="1141"/>
      <c r="X70" s="1141"/>
      <c r="Y70" s="1141"/>
      <c r="Z70" s="1141"/>
      <c r="AA70" s="1141"/>
      <c r="AB70" s="1141"/>
      <c r="AC70" s="1141"/>
      <c r="AD70" s="1141"/>
      <c r="AE70" s="1135"/>
      <c r="AF70" s="1141"/>
      <c r="AG70" s="1135"/>
      <c r="AH70" s="1141"/>
      <c r="AI70" s="1141"/>
      <c r="AJ70" s="1142"/>
      <c r="AK70" s="1137">
        <f t="shared" ref="AK70:AL87" si="3">SUM(E70,G70,I70)-SUM(K70,M70,O70,Q70,S70,U70,W70,Y70,AA70,AC70,AE70,AG70,AI70)</f>
        <v>0</v>
      </c>
      <c r="AL70" s="1137">
        <f t="shared" si="3"/>
        <v>0</v>
      </c>
    </row>
    <row r="71" spans="1:38" hidden="1" outlineLevel="2" x14ac:dyDescent="0.3">
      <c r="A71" s="1130"/>
      <c r="B71" s="1138"/>
      <c r="C71" s="1139"/>
      <c r="D71" s="1140"/>
      <c r="E71" s="1134"/>
      <c r="F71" s="1141"/>
      <c r="G71" s="1141"/>
      <c r="H71" s="1141"/>
      <c r="I71" s="1141"/>
      <c r="J71" s="1141"/>
      <c r="K71" s="1135"/>
      <c r="L71" s="1141"/>
      <c r="M71" s="1141"/>
      <c r="N71" s="1141"/>
      <c r="O71" s="1141"/>
      <c r="P71" s="1141"/>
      <c r="Q71" s="1141"/>
      <c r="R71" s="1141"/>
      <c r="S71" s="1141"/>
      <c r="T71" s="1141"/>
      <c r="U71" s="1135"/>
      <c r="V71" s="1141"/>
      <c r="W71" s="1141"/>
      <c r="X71" s="1141"/>
      <c r="Y71" s="1141"/>
      <c r="Z71" s="1141"/>
      <c r="AA71" s="1141"/>
      <c r="AB71" s="1141"/>
      <c r="AC71" s="1141"/>
      <c r="AD71" s="1141"/>
      <c r="AE71" s="1135"/>
      <c r="AF71" s="1141"/>
      <c r="AG71" s="1135"/>
      <c r="AH71" s="1141"/>
      <c r="AI71" s="1141"/>
      <c r="AJ71" s="1142"/>
      <c r="AK71" s="1137">
        <f t="shared" si="3"/>
        <v>0</v>
      </c>
      <c r="AL71" s="1137">
        <f t="shared" si="3"/>
        <v>0</v>
      </c>
    </row>
    <row r="72" spans="1:38" hidden="1" outlineLevel="2" x14ac:dyDescent="0.3">
      <c r="A72" s="1130"/>
      <c r="B72" s="1138"/>
      <c r="C72" s="1139"/>
      <c r="D72" s="1140"/>
      <c r="E72" s="1134"/>
      <c r="F72" s="1141"/>
      <c r="G72" s="1141"/>
      <c r="H72" s="1141"/>
      <c r="I72" s="1141"/>
      <c r="J72" s="1141"/>
      <c r="K72" s="1135"/>
      <c r="L72" s="1141"/>
      <c r="M72" s="1141"/>
      <c r="N72" s="1141"/>
      <c r="O72" s="1141"/>
      <c r="P72" s="1141"/>
      <c r="Q72" s="1141"/>
      <c r="R72" s="1141"/>
      <c r="S72" s="1141"/>
      <c r="T72" s="1141"/>
      <c r="U72" s="1135"/>
      <c r="V72" s="1141"/>
      <c r="W72" s="1141"/>
      <c r="X72" s="1141"/>
      <c r="Y72" s="1141"/>
      <c r="Z72" s="1141"/>
      <c r="AA72" s="1141"/>
      <c r="AB72" s="1141"/>
      <c r="AC72" s="1141"/>
      <c r="AD72" s="1141"/>
      <c r="AE72" s="1135"/>
      <c r="AF72" s="1141"/>
      <c r="AG72" s="1135"/>
      <c r="AH72" s="1141"/>
      <c r="AI72" s="1141"/>
      <c r="AJ72" s="1142"/>
      <c r="AK72" s="1137">
        <f t="shared" si="3"/>
        <v>0</v>
      </c>
      <c r="AL72" s="1137">
        <f t="shared" si="3"/>
        <v>0</v>
      </c>
    </row>
    <row r="73" spans="1:38" hidden="1" outlineLevel="2" x14ac:dyDescent="0.3">
      <c r="A73" s="1130"/>
      <c r="B73" s="1138"/>
      <c r="C73" s="1139"/>
      <c r="D73" s="1140"/>
      <c r="E73" s="1134"/>
      <c r="F73" s="1141"/>
      <c r="G73" s="1141"/>
      <c r="H73" s="1141"/>
      <c r="I73" s="1141"/>
      <c r="J73" s="1141"/>
      <c r="K73" s="1135"/>
      <c r="L73" s="1141"/>
      <c r="M73" s="1141"/>
      <c r="N73" s="1141"/>
      <c r="O73" s="1141"/>
      <c r="P73" s="1141"/>
      <c r="Q73" s="1141"/>
      <c r="R73" s="1141"/>
      <c r="S73" s="1141"/>
      <c r="T73" s="1141"/>
      <c r="U73" s="1135"/>
      <c r="V73" s="1141"/>
      <c r="W73" s="1141"/>
      <c r="X73" s="1141"/>
      <c r="Y73" s="1141"/>
      <c r="Z73" s="1141"/>
      <c r="AA73" s="1141"/>
      <c r="AB73" s="1141"/>
      <c r="AC73" s="1141"/>
      <c r="AD73" s="1141"/>
      <c r="AE73" s="1135"/>
      <c r="AF73" s="1141"/>
      <c r="AG73" s="1135"/>
      <c r="AH73" s="1141"/>
      <c r="AI73" s="1141"/>
      <c r="AJ73" s="1142"/>
      <c r="AK73" s="1137">
        <f t="shared" si="3"/>
        <v>0</v>
      </c>
      <c r="AL73" s="1137">
        <f t="shared" si="3"/>
        <v>0</v>
      </c>
    </row>
    <row r="74" spans="1:38" hidden="1" outlineLevel="2" x14ac:dyDescent="0.3">
      <c r="A74" s="1130"/>
      <c r="B74" s="1138"/>
      <c r="C74" s="1139"/>
      <c r="D74" s="1140"/>
      <c r="E74" s="1134"/>
      <c r="F74" s="1141"/>
      <c r="G74" s="1141"/>
      <c r="H74" s="1141"/>
      <c r="I74" s="1141"/>
      <c r="J74" s="1141"/>
      <c r="K74" s="1135"/>
      <c r="L74" s="1141"/>
      <c r="M74" s="1141"/>
      <c r="N74" s="1141"/>
      <c r="O74" s="1141"/>
      <c r="P74" s="1141"/>
      <c r="Q74" s="1141"/>
      <c r="R74" s="1141"/>
      <c r="S74" s="1141"/>
      <c r="T74" s="1141"/>
      <c r="U74" s="1135"/>
      <c r="V74" s="1141"/>
      <c r="W74" s="1141"/>
      <c r="X74" s="1141"/>
      <c r="Y74" s="1141"/>
      <c r="Z74" s="1141"/>
      <c r="AA74" s="1141"/>
      <c r="AB74" s="1141"/>
      <c r="AC74" s="1141"/>
      <c r="AD74" s="1141"/>
      <c r="AE74" s="1135"/>
      <c r="AF74" s="1141"/>
      <c r="AG74" s="1135"/>
      <c r="AH74" s="1141"/>
      <c r="AI74" s="1141"/>
      <c r="AJ74" s="1142"/>
      <c r="AK74" s="1137">
        <f t="shared" si="3"/>
        <v>0</v>
      </c>
      <c r="AL74" s="1137">
        <f t="shared" si="3"/>
        <v>0</v>
      </c>
    </row>
    <row r="75" spans="1:38" hidden="1" outlineLevel="2" x14ac:dyDescent="0.3">
      <c r="A75" s="1130"/>
      <c r="B75" s="1138"/>
      <c r="C75" s="1139"/>
      <c r="D75" s="1140"/>
      <c r="E75" s="1134"/>
      <c r="F75" s="1141"/>
      <c r="G75" s="1141"/>
      <c r="H75" s="1141"/>
      <c r="I75" s="1141"/>
      <c r="J75" s="1141"/>
      <c r="K75" s="1135"/>
      <c r="L75" s="1141"/>
      <c r="M75" s="1141"/>
      <c r="N75" s="1141"/>
      <c r="O75" s="1141"/>
      <c r="P75" s="1141"/>
      <c r="Q75" s="1141"/>
      <c r="R75" s="1141"/>
      <c r="S75" s="1141"/>
      <c r="T75" s="1141"/>
      <c r="U75" s="1135"/>
      <c r="V75" s="1141"/>
      <c r="W75" s="1141"/>
      <c r="X75" s="1141"/>
      <c r="Y75" s="1141"/>
      <c r="Z75" s="1141"/>
      <c r="AA75" s="1141"/>
      <c r="AB75" s="1141"/>
      <c r="AC75" s="1141"/>
      <c r="AD75" s="1141"/>
      <c r="AE75" s="1135"/>
      <c r="AF75" s="1141"/>
      <c r="AG75" s="1135"/>
      <c r="AH75" s="1141"/>
      <c r="AI75" s="1141"/>
      <c r="AJ75" s="1142"/>
      <c r="AK75" s="1137">
        <f t="shared" si="3"/>
        <v>0</v>
      </c>
      <c r="AL75" s="1137">
        <f t="shared" si="3"/>
        <v>0</v>
      </c>
    </row>
    <row r="76" spans="1:38" hidden="1" outlineLevel="2" x14ac:dyDescent="0.3">
      <c r="A76" s="1130"/>
      <c r="B76" s="1138"/>
      <c r="C76" s="1139"/>
      <c r="D76" s="1140"/>
      <c r="E76" s="1134"/>
      <c r="F76" s="1141"/>
      <c r="G76" s="1141"/>
      <c r="H76" s="1141"/>
      <c r="I76" s="1141"/>
      <c r="J76" s="1141"/>
      <c r="K76" s="1135"/>
      <c r="L76" s="1141"/>
      <c r="M76" s="1141"/>
      <c r="N76" s="1141"/>
      <c r="O76" s="1141"/>
      <c r="P76" s="1141"/>
      <c r="Q76" s="1141"/>
      <c r="R76" s="1141"/>
      <c r="S76" s="1141"/>
      <c r="T76" s="1141"/>
      <c r="U76" s="1135"/>
      <c r="V76" s="1141"/>
      <c r="W76" s="1141"/>
      <c r="X76" s="1141"/>
      <c r="Y76" s="1141"/>
      <c r="Z76" s="1141"/>
      <c r="AA76" s="1141"/>
      <c r="AB76" s="1141"/>
      <c r="AC76" s="1141"/>
      <c r="AD76" s="1141"/>
      <c r="AE76" s="1135"/>
      <c r="AF76" s="1141"/>
      <c r="AG76" s="1135"/>
      <c r="AH76" s="1141"/>
      <c r="AI76" s="1141"/>
      <c r="AJ76" s="1142"/>
      <c r="AK76" s="1137">
        <f t="shared" si="3"/>
        <v>0</v>
      </c>
      <c r="AL76" s="1137">
        <f t="shared" si="3"/>
        <v>0</v>
      </c>
    </row>
    <row r="77" spans="1:38" hidden="1" outlineLevel="2" x14ac:dyDescent="0.3">
      <c r="A77" s="1130"/>
      <c r="B77" s="1138"/>
      <c r="C77" s="1139"/>
      <c r="D77" s="1140"/>
      <c r="E77" s="1134"/>
      <c r="F77" s="1141"/>
      <c r="G77" s="1141"/>
      <c r="H77" s="1141"/>
      <c r="I77" s="1141"/>
      <c r="J77" s="1141"/>
      <c r="K77" s="1135"/>
      <c r="L77" s="1141"/>
      <c r="M77" s="1141"/>
      <c r="N77" s="1141"/>
      <c r="O77" s="1141"/>
      <c r="P77" s="1141"/>
      <c r="Q77" s="1141"/>
      <c r="R77" s="1141"/>
      <c r="S77" s="1141"/>
      <c r="T77" s="1141"/>
      <c r="U77" s="1135"/>
      <c r="V77" s="1141"/>
      <c r="W77" s="1141"/>
      <c r="X77" s="1141"/>
      <c r="Y77" s="1141"/>
      <c r="Z77" s="1141"/>
      <c r="AA77" s="1141"/>
      <c r="AB77" s="1141"/>
      <c r="AC77" s="1141"/>
      <c r="AD77" s="1141"/>
      <c r="AE77" s="1135"/>
      <c r="AF77" s="1141"/>
      <c r="AG77" s="1135"/>
      <c r="AH77" s="1141"/>
      <c r="AI77" s="1141"/>
      <c r="AJ77" s="1142"/>
      <c r="AK77" s="1137">
        <f t="shared" si="3"/>
        <v>0</v>
      </c>
      <c r="AL77" s="1137">
        <f t="shared" si="3"/>
        <v>0</v>
      </c>
    </row>
    <row r="78" spans="1:38" hidden="1" outlineLevel="2" x14ac:dyDescent="0.3">
      <c r="A78" s="1130"/>
      <c r="B78" s="1138"/>
      <c r="C78" s="1139"/>
      <c r="D78" s="1140"/>
      <c r="E78" s="1134"/>
      <c r="F78" s="1141"/>
      <c r="G78" s="1141"/>
      <c r="H78" s="1141"/>
      <c r="I78" s="1141"/>
      <c r="J78" s="1141"/>
      <c r="K78" s="1135"/>
      <c r="L78" s="1141"/>
      <c r="M78" s="1141"/>
      <c r="N78" s="1141"/>
      <c r="O78" s="1141"/>
      <c r="P78" s="1141"/>
      <c r="Q78" s="1141"/>
      <c r="R78" s="1141"/>
      <c r="S78" s="1141"/>
      <c r="T78" s="1141"/>
      <c r="U78" s="1135"/>
      <c r="V78" s="1141"/>
      <c r="W78" s="1141"/>
      <c r="X78" s="1141"/>
      <c r="Y78" s="1141"/>
      <c r="Z78" s="1141"/>
      <c r="AA78" s="1141"/>
      <c r="AB78" s="1141"/>
      <c r="AC78" s="1141"/>
      <c r="AD78" s="1141"/>
      <c r="AE78" s="1135"/>
      <c r="AF78" s="1141"/>
      <c r="AG78" s="1135"/>
      <c r="AH78" s="1141"/>
      <c r="AI78" s="1141"/>
      <c r="AJ78" s="1142"/>
      <c r="AK78" s="1137">
        <f t="shared" si="3"/>
        <v>0</v>
      </c>
      <c r="AL78" s="1137">
        <f t="shared" si="3"/>
        <v>0</v>
      </c>
    </row>
    <row r="79" spans="1:38" hidden="1" outlineLevel="2" x14ac:dyDescent="0.3">
      <c r="A79" s="1130"/>
      <c r="B79" s="1138"/>
      <c r="C79" s="1139"/>
      <c r="D79" s="1140"/>
      <c r="E79" s="1134"/>
      <c r="F79" s="1141"/>
      <c r="G79" s="1141"/>
      <c r="H79" s="1141"/>
      <c r="I79" s="1141"/>
      <c r="J79" s="1141"/>
      <c r="K79" s="1135"/>
      <c r="L79" s="1141"/>
      <c r="M79" s="1141"/>
      <c r="N79" s="1141"/>
      <c r="O79" s="1141"/>
      <c r="P79" s="1141"/>
      <c r="Q79" s="1141"/>
      <c r="R79" s="1141"/>
      <c r="S79" s="1141"/>
      <c r="T79" s="1141"/>
      <c r="U79" s="1135"/>
      <c r="V79" s="1141"/>
      <c r="W79" s="1141"/>
      <c r="X79" s="1141"/>
      <c r="Y79" s="1141"/>
      <c r="Z79" s="1141"/>
      <c r="AA79" s="1141"/>
      <c r="AB79" s="1141"/>
      <c r="AC79" s="1141"/>
      <c r="AD79" s="1141"/>
      <c r="AE79" s="1135"/>
      <c r="AF79" s="1141"/>
      <c r="AG79" s="1135"/>
      <c r="AH79" s="1141"/>
      <c r="AI79" s="1141"/>
      <c r="AJ79" s="1142"/>
      <c r="AK79" s="1137">
        <f t="shared" si="3"/>
        <v>0</v>
      </c>
      <c r="AL79" s="1137">
        <f t="shared" si="3"/>
        <v>0</v>
      </c>
    </row>
    <row r="80" spans="1:38" hidden="1" outlineLevel="2" x14ac:dyDescent="0.3">
      <c r="A80" s="1130"/>
      <c r="B80" s="1138"/>
      <c r="C80" s="1139"/>
      <c r="D80" s="1140"/>
      <c r="E80" s="1134"/>
      <c r="F80" s="1141"/>
      <c r="G80" s="1141"/>
      <c r="H80" s="1141"/>
      <c r="I80" s="1141"/>
      <c r="J80" s="1141"/>
      <c r="K80" s="1135"/>
      <c r="L80" s="1141"/>
      <c r="M80" s="1141"/>
      <c r="N80" s="1141"/>
      <c r="O80" s="1141"/>
      <c r="P80" s="1141"/>
      <c r="Q80" s="1141"/>
      <c r="R80" s="1141"/>
      <c r="S80" s="1141"/>
      <c r="T80" s="1141"/>
      <c r="U80" s="1135"/>
      <c r="V80" s="1141"/>
      <c r="W80" s="1141"/>
      <c r="X80" s="1141"/>
      <c r="Y80" s="1141"/>
      <c r="Z80" s="1141"/>
      <c r="AA80" s="1141"/>
      <c r="AB80" s="1141"/>
      <c r="AC80" s="1141"/>
      <c r="AD80" s="1141"/>
      <c r="AE80" s="1135"/>
      <c r="AF80" s="1141"/>
      <c r="AG80" s="1135"/>
      <c r="AH80" s="1141"/>
      <c r="AI80" s="1141"/>
      <c r="AJ80" s="1142"/>
      <c r="AK80" s="1137">
        <f t="shared" si="3"/>
        <v>0</v>
      </c>
      <c r="AL80" s="1137">
        <f t="shared" si="3"/>
        <v>0</v>
      </c>
    </row>
    <row r="81" spans="1:38" hidden="1" outlineLevel="2" x14ac:dyDescent="0.3">
      <c r="A81" s="1130"/>
      <c r="B81" s="1138"/>
      <c r="C81" s="1139"/>
      <c r="D81" s="1140"/>
      <c r="E81" s="1134"/>
      <c r="F81" s="1141"/>
      <c r="G81" s="1141"/>
      <c r="H81" s="1141"/>
      <c r="I81" s="1141"/>
      <c r="J81" s="1141"/>
      <c r="K81" s="1135"/>
      <c r="L81" s="1141"/>
      <c r="M81" s="1141"/>
      <c r="N81" s="1141"/>
      <c r="O81" s="1141"/>
      <c r="P81" s="1141"/>
      <c r="Q81" s="1141"/>
      <c r="R81" s="1141"/>
      <c r="S81" s="1141"/>
      <c r="T81" s="1141"/>
      <c r="U81" s="1135"/>
      <c r="V81" s="1141"/>
      <c r="W81" s="1141"/>
      <c r="X81" s="1141"/>
      <c r="Y81" s="1141"/>
      <c r="Z81" s="1141"/>
      <c r="AA81" s="1141"/>
      <c r="AB81" s="1141"/>
      <c r="AC81" s="1141"/>
      <c r="AD81" s="1141"/>
      <c r="AE81" s="1135"/>
      <c r="AF81" s="1141"/>
      <c r="AG81" s="1135"/>
      <c r="AH81" s="1141"/>
      <c r="AI81" s="1141"/>
      <c r="AJ81" s="1142"/>
      <c r="AK81" s="1137">
        <f t="shared" si="3"/>
        <v>0</v>
      </c>
      <c r="AL81" s="1137">
        <f t="shared" si="3"/>
        <v>0</v>
      </c>
    </row>
    <row r="82" spans="1:38" hidden="1" outlineLevel="2" x14ac:dyDescent="0.3">
      <c r="A82" s="1130"/>
      <c r="B82" s="1138"/>
      <c r="C82" s="1139"/>
      <c r="D82" s="1140"/>
      <c r="E82" s="1134"/>
      <c r="F82" s="1141"/>
      <c r="G82" s="1141"/>
      <c r="H82" s="1141"/>
      <c r="I82" s="1141"/>
      <c r="J82" s="1141"/>
      <c r="K82" s="1135"/>
      <c r="L82" s="1141"/>
      <c r="M82" s="1141"/>
      <c r="N82" s="1141"/>
      <c r="O82" s="1141"/>
      <c r="P82" s="1141"/>
      <c r="Q82" s="1141"/>
      <c r="R82" s="1141"/>
      <c r="S82" s="1141"/>
      <c r="T82" s="1141"/>
      <c r="U82" s="1135"/>
      <c r="V82" s="1141"/>
      <c r="W82" s="1141"/>
      <c r="X82" s="1141"/>
      <c r="Y82" s="1141"/>
      <c r="Z82" s="1141"/>
      <c r="AA82" s="1141"/>
      <c r="AB82" s="1141"/>
      <c r="AC82" s="1141"/>
      <c r="AD82" s="1141"/>
      <c r="AE82" s="1135"/>
      <c r="AF82" s="1141"/>
      <c r="AG82" s="1135"/>
      <c r="AH82" s="1141"/>
      <c r="AI82" s="1141"/>
      <c r="AJ82" s="1142"/>
      <c r="AK82" s="1137">
        <f t="shared" si="3"/>
        <v>0</v>
      </c>
      <c r="AL82" s="1137">
        <f t="shared" si="3"/>
        <v>0</v>
      </c>
    </row>
    <row r="83" spans="1:38" hidden="1" outlineLevel="2" x14ac:dyDescent="0.3">
      <c r="A83" s="1130"/>
      <c r="B83" s="1138"/>
      <c r="C83" s="1139"/>
      <c r="D83" s="1140"/>
      <c r="E83" s="1134"/>
      <c r="F83" s="1141"/>
      <c r="G83" s="1141"/>
      <c r="H83" s="1141"/>
      <c r="I83" s="1141"/>
      <c r="J83" s="1141"/>
      <c r="K83" s="1135"/>
      <c r="L83" s="1141"/>
      <c r="M83" s="1141"/>
      <c r="N83" s="1141"/>
      <c r="O83" s="1141"/>
      <c r="P83" s="1141"/>
      <c r="Q83" s="1141"/>
      <c r="R83" s="1141"/>
      <c r="S83" s="1141"/>
      <c r="T83" s="1141"/>
      <c r="U83" s="1135"/>
      <c r="V83" s="1141"/>
      <c r="W83" s="1141"/>
      <c r="X83" s="1141"/>
      <c r="Y83" s="1141"/>
      <c r="Z83" s="1141"/>
      <c r="AA83" s="1141"/>
      <c r="AB83" s="1141"/>
      <c r="AC83" s="1141"/>
      <c r="AD83" s="1141"/>
      <c r="AE83" s="1135"/>
      <c r="AF83" s="1141"/>
      <c r="AG83" s="1135"/>
      <c r="AH83" s="1141"/>
      <c r="AI83" s="1141"/>
      <c r="AJ83" s="1142"/>
      <c r="AK83" s="1137">
        <f t="shared" si="3"/>
        <v>0</v>
      </c>
      <c r="AL83" s="1137">
        <f t="shared" si="3"/>
        <v>0</v>
      </c>
    </row>
    <row r="84" spans="1:38" hidden="1" outlineLevel="2" x14ac:dyDescent="0.3">
      <c r="A84" s="1130"/>
      <c r="B84" s="1138"/>
      <c r="C84" s="1139"/>
      <c r="D84" s="1140"/>
      <c r="E84" s="1134"/>
      <c r="F84" s="1141"/>
      <c r="G84" s="1141"/>
      <c r="H84" s="1141"/>
      <c r="I84" s="1141"/>
      <c r="J84" s="1141"/>
      <c r="K84" s="1135"/>
      <c r="L84" s="1141"/>
      <c r="M84" s="1141"/>
      <c r="N84" s="1141"/>
      <c r="O84" s="1141"/>
      <c r="P84" s="1141"/>
      <c r="Q84" s="1141"/>
      <c r="R84" s="1141"/>
      <c r="S84" s="1141"/>
      <c r="T84" s="1141"/>
      <c r="U84" s="1135"/>
      <c r="V84" s="1141"/>
      <c r="W84" s="1141"/>
      <c r="X84" s="1141"/>
      <c r="Y84" s="1141"/>
      <c r="Z84" s="1141"/>
      <c r="AA84" s="1141"/>
      <c r="AB84" s="1141"/>
      <c r="AC84" s="1141"/>
      <c r="AD84" s="1141"/>
      <c r="AE84" s="1135"/>
      <c r="AF84" s="1141"/>
      <c r="AG84" s="1135"/>
      <c r="AH84" s="1141"/>
      <c r="AI84" s="1141"/>
      <c r="AJ84" s="1142"/>
      <c r="AK84" s="1137">
        <f t="shared" si="3"/>
        <v>0</v>
      </c>
      <c r="AL84" s="1137">
        <f t="shared" si="3"/>
        <v>0</v>
      </c>
    </row>
    <row r="85" spans="1:38" hidden="1" outlineLevel="2" x14ac:dyDescent="0.3">
      <c r="A85" s="1130"/>
      <c r="B85" s="1138"/>
      <c r="C85" s="1139"/>
      <c r="D85" s="1140"/>
      <c r="E85" s="1134"/>
      <c r="F85" s="1141"/>
      <c r="G85" s="1141"/>
      <c r="H85" s="1141"/>
      <c r="I85" s="1141"/>
      <c r="J85" s="1141"/>
      <c r="K85" s="1135"/>
      <c r="L85" s="1141"/>
      <c r="M85" s="1141"/>
      <c r="N85" s="1141"/>
      <c r="O85" s="1141"/>
      <c r="P85" s="1141"/>
      <c r="Q85" s="1141"/>
      <c r="R85" s="1141"/>
      <c r="S85" s="1141"/>
      <c r="T85" s="1141"/>
      <c r="U85" s="1135"/>
      <c r="V85" s="1141"/>
      <c r="W85" s="1141"/>
      <c r="X85" s="1141"/>
      <c r="Y85" s="1141"/>
      <c r="Z85" s="1141"/>
      <c r="AA85" s="1141"/>
      <c r="AB85" s="1141"/>
      <c r="AC85" s="1141"/>
      <c r="AD85" s="1141"/>
      <c r="AE85" s="1135"/>
      <c r="AF85" s="1141"/>
      <c r="AG85" s="1135"/>
      <c r="AH85" s="1141"/>
      <c r="AI85" s="1141"/>
      <c r="AJ85" s="1142"/>
      <c r="AK85" s="1137">
        <f t="shared" si="3"/>
        <v>0</v>
      </c>
      <c r="AL85" s="1137">
        <f t="shared" si="3"/>
        <v>0</v>
      </c>
    </row>
    <row r="86" spans="1:38" hidden="1" outlineLevel="2" x14ac:dyDescent="0.3">
      <c r="A86" s="1130"/>
      <c r="B86" s="1138"/>
      <c r="C86" s="1139"/>
      <c r="D86" s="1140"/>
      <c r="E86" s="1134"/>
      <c r="F86" s="1141"/>
      <c r="G86" s="1141"/>
      <c r="H86" s="1141"/>
      <c r="I86" s="1141"/>
      <c r="J86" s="1141"/>
      <c r="K86" s="1135"/>
      <c r="L86" s="1141"/>
      <c r="M86" s="1141"/>
      <c r="N86" s="1141"/>
      <c r="O86" s="1141"/>
      <c r="P86" s="1141"/>
      <c r="Q86" s="1141"/>
      <c r="R86" s="1141"/>
      <c r="S86" s="1141"/>
      <c r="T86" s="1141"/>
      <c r="U86" s="1135"/>
      <c r="V86" s="1141"/>
      <c r="W86" s="1141"/>
      <c r="X86" s="1141"/>
      <c r="Y86" s="1141"/>
      <c r="Z86" s="1141"/>
      <c r="AA86" s="1141"/>
      <c r="AB86" s="1141"/>
      <c r="AC86" s="1141"/>
      <c r="AD86" s="1141"/>
      <c r="AE86" s="1135"/>
      <c r="AF86" s="1141"/>
      <c r="AG86" s="1135"/>
      <c r="AH86" s="1141"/>
      <c r="AI86" s="1141"/>
      <c r="AJ86" s="1142"/>
      <c r="AK86" s="1137">
        <f t="shared" si="3"/>
        <v>0</v>
      </c>
      <c r="AL86" s="1137">
        <f t="shared" si="3"/>
        <v>0</v>
      </c>
    </row>
    <row r="87" spans="1:38" hidden="1" outlineLevel="2" x14ac:dyDescent="0.3">
      <c r="A87" s="1130"/>
      <c r="B87" s="1138"/>
      <c r="C87" s="1139"/>
      <c r="D87" s="1140"/>
      <c r="E87" s="1134"/>
      <c r="F87" s="1141"/>
      <c r="G87" s="1141"/>
      <c r="H87" s="1141"/>
      <c r="I87" s="1141"/>
      <c r="J87" s="1141"/>
      <c r="K87" s="1135"/>
      <c r="L87" s="1141"/>
      <c r="M87" s="1141"/>
      <c r="N87" s="1141"/>
      <c r="O87" s="1141"/>
      <c r="P87" s="1141"/>
      <c r="Q87" s="1141"/>
      <c r="R87" s="1141"/>
      <c r="S87" s="1141"/>
      <c r="T87" s="1141"/>
      <c r="U87" s="1135"/>
      <c r="V87" s="1141"/>
      <c r="W87" s="1141"/>
      <c r="X87" s="1141"/>
      <c r="Y87" s="1141"/>
      <c r="Z87" s="1141"/>
      <c r="AA87" s="1141"/>
      <c r="AB87" s="1141"/>
      <c r="AC87" s="1141"/>
      <c r="AD87" s="1141"/>
      <c r="AE87" s="1135"/>
      <c r="AF87" s="1141"/>
      <c r="AG87" s="1135"/>
      <c r="AH87" s="1141"/>
      <c r="AI87" s="1141"/>
      <c r="AJ87" s="1142"/>
      <c r="AK87" s="1137">
        <f t="shared" si="3"/>
        <v>0</v>
      </c>
      <c r="AL87" s="1137">
        <f t="shared" si="3"/>
        <v>0</v>
      </c>
    </row>
    <row r="88" spans="1:38" hidden="1" outlineLevel="2" x14ac:dyDescent="0.3">
      <c r="A88" s="1130"/>
      <c r="B88" s="1138"/>
      <c r="C88" s="1139"/>
      <c r="D88" s="1140"/>
      <c r="E88" s="1143"/>
      <c r="F88" s="1141"/>
      <c r="G88" s="1141"/>
      <c r="H88" s="1141"/>
      <c r="I88" s="1141"/>
      <c r="J88" s="1141"/>
      <c r="K88" s="1141"/>
      <c r="L88" s="1141"/>
      <c r="M88" s="1141"/>
      <c r="N88" s="1141"/>
      <c r="O88" s="1141"/>
      <c r="P88" s="1141"/>
      <c r="Q88" s="1141"/>
      <c r="R88" s="1141"/>
      <c r="S88" s="1141"/>
      <c r="T88" s="1141"/>
      <c r="U88" s="1135"/>
      <c r="V88" s="1141"/>
      <c r="W88" s="1141"/>
      <c r="X88" s="1141"/>
      <c r="Y88" s="1141"/>
      <c r="Z88" s="1141"/>
      <c r="AA88" s="1141"/>
      <c r="AB88" s="1141"/>
      <c r="AC88" s="1141"/>
      <c r="AD88" s="1141"/>
      <c r="AE88" s="1135"/>
      <c r="AF88" s="1141"/>
      <c r="AG88" s="1135"/>
      <c r="AH88" s="1141"/>
      <c r="AI88" s="1141"/>
      <c r="AJ88" s="1142"/>
      <c r="AK88" s="1137"/>
      <c r="AL88" s="1144"/>
    </row>
    <row r="89" spans="1:38" hidden="1" outlineLevel="2" x14ac:dyDescent="0.3">
      <c r="A89" s="1130"/>
      <c r="B89" s="1138"/>
      <c r="C89" s="1139"/>
      <c r="D89" s="1140"/>
      <c r="E89" s="1143"/>
      <c r="F89" s="1141"/>
      <c r="G89" s="1141"/>
      <c r="H89" s="1141"/>
      <c r="I89" s="1141"/>
      <c r="J89" s="1141"/>
      <c r="K89" s="1141"/>
      <c r="L89" s="1141"/>
      <c r="M89" s="1141"/>
      <c r="N89" s="1141"/>
      <c r="O89" s="1141"/>
      <c r="P89" s="1141"/>
      <c r="Q89" s="1141"/>
      <c r="R89" s="1141"/>
      <c r="S89" s="1141"/>
      <c r="T89" s="1141"/>
      <c r="U89" s="1141"/>
      <c r="V89" s="1141"/>
      <c r="W89" s="1141"/>
      <c r="X89" s="1141"/>
      <c r="Y89" s="1141"/>
      <c r="Z89" s="1141"/>
      <c r="AA89" s="1141"/>
      <c r="AB89" s="1141"/>
      <c r="AC89" s="1141"/>
      <c r="AD89" s="1141"/>
      <c r="AE89" s="1141"/>
      <c r="AF89" s="1141"/>
      <c r="AG89" s="1141"/>
      <c r="AH89" s="1141"/>
      <c r="AI89" s="1141"/>
      <c r="AJ89" s="1142"/>
      <c r="AK89" s="1142"/>
      <c r="AL89" s="1144"/>
    </row>
    <row r="90" spans="1:38" ht="15" outlineLevel="1" collapsed="1" thickBot="1" x14ac:dyDescent="0.35">
      <c r="A90" s="1130"/>
      <c r="B90" s="1145" t="s">
        <v>550</v>
      </c>
      <c r="C90" s="1146"/>
      <c r="D90" s="1147"/>
      <c r="E90" s="1148">
        <f t="shared" ref="E90:AL90" si="4">SUBTOTAL(9,E38:E89)</f>
        <v>49290</v>
      </c>
      <c r="F90" s="1149">
        <f t="shared" si="4"/>
        <v>0</v>
      </c>
      <c r="G90" s="1149">
        <f t="shared" si="4"/>
        <v>0</v>
      </c>
      <c r="H90" s="1149">
        <f t="shared" si="4"/>
        <v>0</v>
      </c>
      <c r="I90" s="1149">
        <f t="shared" si="4"/>
        <v>0</v>
      </c>
      <c r="J90" s="1149">
        <f t="shared" si="4"/>
        <v>0</v>
      </c>
      <c r="K90" s="1149">
        <f t="shared" si="4"/>
        <v>0</v>
      </c>
      <c r="L90" s="1149">
        <f t="shared" si="4"/>
        <v>0</v>
      </c>
      <c r="M90" s="1149">
        <f t="shared" si="4"/>
        <v>0</v>
      </c>
      <c r="N90" s="1149">
        <f t="shared" si="4"/>
        <v>0</v>
      </c>
      <c r="O90" s="1149">
        <f t="shared" si="4"/>
        <v>0</v>
      </c>
      <c r="P90" s="1149">
        <f t="shared" si="4"/>
        <v>0</v>
      </c>
      <c r="Q90" s="1149">
        <f t="shared" si="4"/>
        <v>0</v>
      </c>
      <c r="R90" s="1149">
        <f t="shared" si="4"/>
        <v>0</v>
      </c>
      <c r="S90" s="1149">
        <f t="shared" si="4"/>
        <v>0</v>
      </c>
      <c r="T90" s="1149">
        <f t="shared" si="4"/>
        <v>0</v>
      </c>
      <c r="U90" s="1149">
        <f t="shared" si="4"/>
        <v>43750</v>
      </c>
      <c r="V90" s="1149">
        <f t="shared" si="4"/>
        <v>0</v>
      </c>
      <c r="W90" s="1149"/>
      <c r="X90" s="1149">
        <f t="shared" si="4"/>
        <v>0</v>
      </c>
      <c r="Y90" s="1149">
        <f t="shared" si="4"/>
        <v>0</v>
      </c>
      <c r="Z90" s="1149">
        <f t="shared" si="4"/>
        <v>0</v>
      </c>
      <c r="AA90" s="1149">
        <f t="shared" si="4"/>
        <v>0</v>
      </c>
      <c r="AB90" s="1149">
        <f t="shared" si="4"/>
        <v>0</v>
      </c>
      <c r="AC90" s="1149">
        <f t="shared" si="4"/>
        <v>0</v>
      </c>
      <c r="AD90" s="1149">
        <f t="shared" si="4"/>
        <v>0</v>
      </c>
      <c r="AE90" s="1149">
        <f t="shared" si="4"/>
        <v>4340</v>
      </c>
      <c r="AF90" s="1149">
        <f t="shared" si="4"/>
        <v>0</v>
      </c>
      <c r="AG90" s="1149">
        <f t="shared" si="4"/>
        <v>0</v>
      </c>
      <c r="AH90" s="1149">
        <f t="shared" si="4"/>
        <v>0</v>
      </c>
      <c r="AI90" s="1149">
        <f t="shared" si="4"/>
        <v>0</v>
      </c>
      <c r="AJ90" s="1149">
        <f t="shared" si="4"/>
        <v>0</v>
      </c>
      <c r="AK90" s="1149">
        <f>SUBTOTAL(9,AK36:AK89)</f>
        <v>0</v>
      </c>
      <c r="AL90" s="1149">
        <f t="shared" si="4"/>
        <v>0</v>
      </c>
    </row>
    <row r="91" spans="1:38" ht="36" outlineLevel="1" x14ac:dyDescent="0.35">
      <c r="A91" s="1150" t="s">
        <v>1460</v>
      </c>
      <c r="B91" s="1151" t="s">
        <v>752</v>
      </c>
      <c r="C91" s="1152"/>
      <c r="D91" s="1153"/>
      <c r="E91" s="1154"/>
      <c r="F91" s="1155"/>
      <c r="G91" s="1155"/>
      <c r="H91" s="1155"/>
      <c r="I91" s="1155"/>
      <c r="J91" s="1155"/>
      <c r="K91" s="1155"/>
      <c r="L91" s="1155"/>
      <c r="M91" s="1155">
        <v>500</v>
      </c>
      <c r="N91" s="1155"/>
      <c r="O91" s="1155">
        <v>1200</v>
      </c>
      <c r="P91" s="1155"/>
      <c r="Q91" s="1155">
        <v>300</v>
      </c>
      <c r="R91" s="1155"/>
      <c r="S91" s="1155">
        <v>100</v>
      </c>
      <c r="T91" s="1155"/>
      <c r="U91" s="1155"/>
      <c r="V91" s="1155"/>
      <c r="W91" s="1155"/>
      <c r="X91" s="1155"/>
      <c r="Y91" s="1155"/>
      <c r="Z91" s="1155"/>
      <c r="AA91" s="1155">
        <v>200</v>
      </c>
      <c r="AB91" s="1155"/>
      <c r="AC91" s="1155"/>
      <c r="AD91" s="1155"/>
      <c r="AE91" s="1155">
        <v>100</v>
      </c>
      <c r="AF91" s="1155"/>
      <c r="AG91" s="1155">
        <v>500</v>
      </c>
      <c r="AH91" s="1155"/>
      <c r="AI91" s="1155"/>
      <c r="AJ91" s="1156"/>
      <c r="AK91" s="1156">
        <f t="shared" ref="AK91:AL106" si="5">SUM(E91,G91,I91)-SUM(K91,M91,O91,Q91,S91,U91,W91,Y91,AA91,AC91,AE91,AG91,AI91)</f>
        <v>-2900</v>
      </c>
      <c r="AL91" s="1157">
        <f t="shared" si="5"/>
        <v>0</v>
      </c>
    </row>
    <row r="92" spans="1:38" outlineLevel="2" x14ac:dyDescent="0.3">
      <c r="A92" s="1158"/>
      <c r="B92" s="1159" t="s">
        <v>753</v>
      </c>
      <c r="C92" s="1160"/>
      <c r="D92" s="1161"/>
      <c r="E92" s="1162"/>
      <c r="F92" s="1163"/>
      <c r="G92" s="1163"/>
      <c r="H92" s="1163"/>
      <c r="I92" s="1163"/>
      <c r="J92" s="1163"/>
      <c r="K92" s="1163"/>
      <c r="L92" s="1163"/>
      <c r="M92" s="1163"/>
      <c r="N92" s="1163"/>
      <c r="O92" s="1163"/>
      <c r="P92" s="1163"/>
      <c r="Q92" s="1163"/>
      <c r="R92" s="1163"/>
      <c r="S92" s="1163"/>
      <c r="T92" s="1163"/>
      <c r="U92" s="1163"/>
      <c r="V92" s="1163"/>
      <c r="W92" s="1163"/>
      <c r="X92" s="1163"/>
      <c r="Y92" s="1163"/>
      <c r="Z92" s="1163"/>
      <c r="AA92" s="1163"/>
      <c r="AB92" s="1163"/>
      <c r="AC92" s="1163"/>
      <c r="AD92" s="1163"/>
      <c r="AE92" s="1163">
        <v>500</v>
      </c>
      <c r="AF92" s="1163"/>
      <c r="AG92" s="1163"/>
      <c r="AH92" s="1163"/>
      <c r="AI92" s="1163"/>
      <c r="AJ92" s="1164"/>
      <c r="AK92" s="1164">
        <f t="shared" si="5"/>
        <v>-500</v>
      </c>
      <c r="AL92" s="1165">
        <f t="shared" si="5"/>
        <v>0</v>
      </c>
    </row>
    <row r="93" spans="1:38" outlineLevel="2" x14ac:dyDescent="0.3">
      <c r="A93" s="1158"/>
      <c r="B93" s="1159" t="s">
        <v>754</v>
      </c>
      <c r="C93" s="1160"/>
      <c r="D93" s="1161"/>
      <c r="E93" s="1162"/>
      <c r="F93" s="1163"/>
      <c r="G93" s="1163"/>
      <c r="H93" s="1163"/>
      <c r="I93" s="1163"/>
      <c r="J93" s="1163"/>
      <c r="K93" s="1163"/>
      <c r="L93" s="1163"/>
      <c r="M93" s="1163">
        <v>640</v>
      </c>
      <c r="N93" s="1163"/>
      <c r="O93" s="1163">
        <v>1200</v>
      </c>
      <c r="P93" s="1163"/>
      <c r="Q93" s="1163">
        <v>400</v>
      </c>
      <c r="R93" s="1163"/>
      <c r="S93" s="1163"/>
      <c r="T93" s="1163"/>
      <c r="U93" s="1163"/>
      <c r="V93" s="1163"/>
      <c r="W93" s="1163"/>
      <c r="X93" s="1163"/>
      <c r="Y93" s="1163"/>
      <c r="Z93" s="1163"/>
      <c r="AA93" s="1163"/>
      <c r="AB93" s="1163"/>
      <c r="AC93" s="1163"/>
      <c r="AD93" s="1163"/>
      <c r="AE93" s="1163"/>
      <c r="AF93" s="1163"/>
      <c r="AG93" s="1163">
        <v>640</v>
      </c>
      <c r="AH93" s="1163"/>
      <c r="AI93" s="1163">
        <v>0</v>
      </c>
      <c r="AJ93" s="1164"/>
      <c r="AK93" s="1164">
        <f t="shared" si="5"/>
        <v>-2880</v>
      </c>
      <c r="AL93" s="1165">
        <f t="shared" si="5"/>
        <v>0</v>
      </c>
    </row>
    <row r="94" spans="1:38" outlineLevel="2" x14ac:dyDescent="0.3">
      <c r="A94" s="1158"/>
      <c r="B94" s="1159" t="s">
        <v>631</v>
      </c>
      <c r="C94" s="1160"/>
      <c r="D94" s="1161"/>
      <c r="E94" s="1162"/>
      <c r="F94" s="1163"/>
      <c r="G94" s="1163"/>
      <c r="H94" s="1163"/>
      <c r="I94" s="1163"/>
      <c r="J94" s="1163"/>
      <c r="K94" s="1163"/>
      <c r="L94" s="1163"/>
      <c r="M94" s="1163">
        <v>360</v>
      </c>
      <c r="N94" s="1163"/>
      <c r="O94" s="1163">
        <v>900</v>
      </c>
      <c r="P94" s="1163"/>
      <c r="Q94" s="1163">
        <v>300</v>
      </c>
      <c r="R94" s="1163"/>
      <c r="S94" s="1163"/>
      <c r="T94" s="1163"/>
      <c r="U94" s="1163"/>
      <c r="V94" s="1163"/>
      <c r="W94" s="1163"/>
      <c r="X94" s="1163"/>
      <c r="Y94" s="1163"/>
      <c r="Z94" s="1163"/>
      <c r="AA94" s="1163">
        <v>300</v>
      </c>
      <c r="AB94" s="1163"/>
      <c r="AC94" s="1163">
        <v>500</v>
      </c>
      <c r="AD94" s="1163"/>
      <c r="AE94" s="1163">
        <v>300</v>
      </c>
      <c r="AF94" s="1163"/>
      <c r="AG94" s="1163">
        <v>360</v>
      </c>
      <c r="AH94" s="1163"/>
      <c r="AI94" s="1163"/>
      <c r="AJ94" s="1164"/>
      <c r="AK94" s="1164">
        <f t="shared" si="5"/>
        <v>-3020</v>
      </c>
      <c r="AL94" s="1165">
        <f t="shared" si="5"/>
        <v>0</v>
      </c>
    </row>
    <row r="95" spans="1:38" outlineLevel="2" x14ac:dyDescent="0.3">
      <c r="A95" s="1158"/>
      <c r="B95" s="1166"/>
      <c r="C95" s="1167"/>
      <c r="D95" s="1168"/>
      <c r="E95" s="1169"/>
      <c r="F95" s="1170"/>
      <c r="G95" s="1170"/>
      <c r="H95" s="1170"/>
      <c r="I95" s="1170"/>
      <c r="J95" s="1170"/>
      <c r="K95" s="1170"/>
      <c r="L95" s="1170"/>
      <c r="M95" s="1170"/>
      <c r="N95" s="1170"/>
      <c r="O95" s="1170"/>
      <c r="P95" s="1170"/>
      <c r="Q95" s="1170"/>
      <c r="R95" s="1170"/>
      <c r="S95" s="1170"/>
      <c r="T95" s="1170"/>
      <c r="U95" s="1170"/>
      <c r="V95" s="1170"/>
      <c r="W95" s="1170"/>
      <c r="X95" s="1170"/>
      <c r="Y95" s="1170"/>
      <c r="Z95" s="1170"/>
      <c r="AA95" s="1170"/>
      <c r="AB95" s="1170"/>
      <c r="AC95" s="1170"/>
      <c r="AD95" s="1170"/>
      <c r="AE95" s="1170"/>
      <c r="AF95" s="1170"/>
      <c r="AG95" s="1170"/>
      <c r="AH95" s="1170"/>
      <c r="AI95" s="1170"/>
      <c r="AJ95" s="1171"/>
      <c r="AK95" s="1171">
        <f t="shared" si="5"/>
        <v>0</v>
      </c>
      <c r="AL95" s="1172">
        <f t="shared" si="5"/>
        <v>0</v>
      </c>
    </row>
    <row r="96" spans="1:38" outlineLevel="2" x14ac:dyDescent="0.3">
      <c r="A96" s="1158"/>
      <c r="B96" s="1166"/>
      <c r="C96" s="1167"/>
      <c r="D96" s="1168"/>
      <c r="E96" s="1169"/>
      <c r="F96" s="1170"/>
      <c r="G96" s="1170"/>
      <c r="H96" s="1170"/>
      <c r="I96" s="1170"/>
      <c r="J96" s="1170"/>
      <c r="K96" s="1170"/>
      <c r="L96" s="1170"/>
      <c r="M96" s="1170"/>
      <c r="N96" s="1170"/>
      <c r="O96" s="1170"/>
      <c r="P96" s="1170"/>
      <c r="Q96" s="1170"/>
      <c r="R96" s="1170"/>
      <c r="S96" s="1170"/>
      <c r="T96" s="1170"/>
      <c r="U96" s="1170"/>
      <c r="V96" s="1170"/>
      <c r="W96" s="1170"/>
      <c r="X96" s="1170"/>
      <c r="Y96" s="1170"/>
      <c r="Z96" s="1170"/>
      <c r="AA96" s="1170"/>
      <c r="AB96" s="1170"/>
      <c r="AC96" s="1170"/>
      <c r="AD96" s="1170"/>
      <c r="AE96" s="1170"/>
      <c r="AF96" s="1170"/>
      <c r="AG96" s="1170"/>
      <c r="AH96" s="1170"/>
      <c r="AI96" s="1170"/>
      <c r="AJ96" s="1171"/>
      <c r="AK96" s="1171">
        <f t="shared" si="5"/>
        <v>0</v>
      </c>
      <c r="AL96" s="1172">
        <f t="shared" si="5"/>
        <v>0</v>
      </c>
    </row>
    <row r="97" spans="1:38" outlineLevel="2" x14ac:dyDescent="0.3">
      <c r="A97" s="1158"/>
      <c r="B97" s="1166"/>
      <c r="C97" s="1167"/>
      <c r="D97" s="1168"/>
      <c r="E97" s="1169"/>
      <c r="F97" s="1170"/>
      <c r="G97" s="1170"/>
      <c r="H97" s="1170"/>
      <c r="I97" s="1170"/>
      <c r="J97" s="1170"/>
      <c r="K97" s="1170"/>
      <c r="L97" s="1170"/>
      <c r="M97" s="1170"/>
      <c r="N97" s="1170"/>
      <c r="O97" s="1170"/>
      <c r="P97" s="1170"/>
      <c r="Q97" s="1170"/>
      <c r="R97" s="1170"/>
      <c r="S97" s="1170"/>
      <c r="T97" s="1170"/>
      <c r="U97" s="1170"/>
      <c r="V97" s="1170"/>
      <c r="W97" s="1170"/>
      <c r="X97" s="1170"/>
      <c r="Y97" s="1170"/>
      <c r="Z97" s="1170"/>
      <c r="AA97" s="1170"/>
      <c r="AB97" s="1170"/>
      <c r="AC97" s="1170"/>
      <c r="AD97" s="1170"/>
      <c r="AE97" s="1170"/>
      <c r="AF97" s="1170"/>
      <c r="AG97" s="1170"/>
      <c r="AH97" s="1170"/>
      <c r="AI97" s="1170"/>
      <c r="AJ97" s="1171"/>
      <c r="AK97" s="1171">
        <f t="shared" si="5"/>
        <v>0</v>
      </c>
      <c r="AL97" s="1172">
        <f t="shared" si="5"/>
        <v>0</v>
      </c>
    </row>
    <row r="98" spans="1:38" outlineLevel="2" x14ac:dyDescent="0.3">
      <c r="A98" s="1158"/>
      <c r="B98" s="1166"/>
      <c r="C98" s="1167"/>
      <c r="D98" s="1168"/>
      <c r="E98" s="1169"/>
      <c r="F98" s="1170"/>
      <c r="G98" s="1170"/>
      <c r="H98" s="1170"/>
      <c r="I98" s="1170"/>
      <c r="J98" s="1170"/>
      <c r="K98" s="1170"/>
      <c r="L98" s="1170"/>
      <c r="M98" s="1170"/>
      <c r="N98" s="1170"/>
      <c r="O98" s="1170"/>
      <c r="P98" s="1170"/>
      <c r="Q98" s="1170"/>
      <c r="R98" s="1170"/>
      <c r="S98" s="1170"/>
      <c r="T98" s="1170"/>
      <c r="U98" s="1170"/>
      <c r="V98" s="1170"/>
      <c r="W98" s="1170"/>
      <c r="X98" s="1170"/>
      <c r="Y98" s="1170"/>
      <c r="Z98" s="1170"/>
      <c r="AA98" s="1170"/>
      <c r="AB98" s="1170"/>
      <c r="AC98" s="1170"/>
      <c r="AD98" s="1170"/>
      <c r="AE98" s="1170"/>
      <c r="AF98" s="1170"/>
      <c r="AG98" s="1170"/>
      <c r="AH98" s="1170"/>
      <c r="AI98" s="1170"/>
      <c r="AJ98" s="1171"/>
      <c r="AK98" s="1171">
        <f t="shared" si="5"/>
        <v>0</v>
      </c>
      <c r="AL98" s="1172">
        <f t="shared" si="5"/>
        <v>0</v>
      </c>
    </row>
    <row r="99" spans="1:38" outlineLevel="2" x14ac:dyDescent="0.3">
      <c r="A99" s="1158"/>
      <c r="B99" s="1166"/>
      <c r="C99" s="1167"/>
      <c r="D99" s="1168"/>
      <c r="E99" s="1169"/>
      <c r="F99" s="1170"/>
      <c r="G99" s="1170"/>
      <c r="H99" s="1170"/>
      <c r="I99" s="1170"/>
      <c r="J99" s="1170"/>
      <c r="K99" s="1170"/>
      <c r="L99" s="1170"/>
      <c r="M99" s="1170"/>
      <c r="N99" s="1170"/>
      <c r="O99" s="1170"/>
      <c r="P99" s="1170"/>
      <c r="Q99" s="1170"/>
      <c r="R99" s="1170"/>
      <c r="S99" s="1170"/>
      <c r="T99" s="1170"/>
      <c r="U99" s="1170"/>
      <c r="V99" s="1170"/>
      <c r="W99" s="1170"/>
      <c r="X99" s="1170"/>
      <c r="Y99" s="1170"/>
      <c r="Z99" s="1170"/>
      <c r="AA99" s="1170"/>
      <c r="AB99" s="1170"/>
      <c r="AC99" s="1170"/>
      <c r="AD99" s="1170"/>
      <c r="AE99" s="1170"/>
      <c r="AF99" s="1170"/>
      <c r="AG99" s="1170"/>
      <c r="AH99" s="1170"/>
      <c r="AI99" s="1170"/>
      <c r="AJ99" s="1171"/>
      <c r="AK99" s="1171">
        <f t="shared" si="5"/>
        <v>0</v>
      </c>
      <c r="AL99" s="1172">
        <f t="shared" si="5"/>
        <v>0</v>
      </c>
    </row>
    <row r="100" spans="1:38" outlineLevel="2" x14ac:dyDescent="0.3">
      <c r="A100" s="1158"/>
      <c r="B100" s="1166"/>
      <c r="C100" s="1167"/>
      <c r="D100" s="1168"/>
      <c r="E100" s="1169"/>
      <c r="F100" s="1170"/>
      <c r="G100" s="1170"/>
      <c r="H100" s="1170"/>
      <c r="I100" s="1170"/>
      <c r="J100" s="1170"/>
      <c r="K100" s="1170"/>
      <c r="L100" s="1170"/>
      <c r="M100" s="1170"/>
      <c r="N100" s="1170"/>
      <c r="O100" s="1170"/>
      <c r="P100" s="1170"/>
      <c r="Q100" s="1170"/>
      <c r="R100" s="1170"/>
      <c r="S100" s="1170"/>
      <c r="T100" s="1170"/>
      <c r="U100" s="1170"/>
      <c r="V100" s="1170"/>
      <c r="W100" s="1170"/>
      <c r="X100" s="1170"/>
      <c r="Y100" s="1170"/>
      <c r="Z100" s="1170"/>
      <c r="AA100" s="1170"/>
      <c r="AB100" s="1170"/>
      <c r="AC100" s="1170"/>
      <c r="AD100" s="1170"/>
      <c r="AE100" s="1170"/>
      <c r="AF100" s="1170"/>
      <c r="AG100" s="1170"/>
      <c r="AH100" s="1170"/>
      <c r="AI100" s="1170"/>
      <c r="AJ100" s="1171"/>
      <c r="AK100" s="1171">
        <f t="shared" si="5"/>
        <v>0</v>
      </c>
      <c r="AL100" s="1172">
        <f t="shared" si="5"/>
        <v>0</v>
      </c>
    </row>
    <row r="101" spans="1:38" ht="15" outlineLevel="1" thickBot="1" x14ac:dyDescent="0.35">
      <c r="A101" s="1158"/>
      <c r="B101" s="1173" t="s">
        <v>550</v>
      </c>
      <c r="C101" s="1174"/>
      <c r="D101" s="1175"/>
      <c r="E101" s="1176">
        <f t="shared" ref="E101:AJ101" si="6">SUBTOTAL(9,E91:E100)</f>
        <v>0</v>
      </c>
      <c r="F101" s="1177">
        <f t="shared" si="6"/>
        <v>0</v>
      </c>
      <c r="G101" s="1177">
        <f t="shared" si="6"/>
        <v>0</v>
      </c>
      <c r="H101" s="1177">
        <f t="shared" si="6"/>
        <v>0</v>
      </c>
      <c r="I101" s="1177">
        <f t="shared" si="6"/>
        <v>0</v>
      </c>
      <c r="J101" s="1177">
        <f t="shared" si="6"/>
        <v>0</v>
      </c>
      <c r="K101" s="1177">
        <f t="shared" si="6"/>
        <v>0</v>
      </c>
      <c r="L101" s="1177">
        <f t="shared" si="6"/>
        <v>0</v>
      </c>
      <c r="M101" s="1177">
        <f t="shared" si="6"/>
        <v>1500</v>
      </c>
      <c r="N101" s="1177">
        <f t="shared" si="6"/>
        <v>0</v>
      </c>
      <c r="O101" s="1177">
        <f t="shared" si="6"/>
        <v>3300</v>
      </c>
      <c r="P101" s="1177">
        <f t="shared" si="6"/>
        <v>0</v>
      </c>
      <c r="Q101" s="1177">
        <f t="shared" si="6"/>
        <v>1000</v>
      </c>
      <c r="R101" s="1177">
        <f t="shared" si="6"/>
        <v>0</v>
      </c>
      <c r="S101" s="1177">
        <f t="shared" si="6"/>
        <v>100</v>
      </c>
      <c r="T101" s="1177">
        <f t="shared" si="6"/>
        <v>0</v>
      </c>
      <c r="U101" s="1177">
        <f t="shared" si="6"/>
        <v>0</v>
      </c>
      <c r="V101" s="1177">
        <f t="shared" si="6"/>
        <v>0</v>
      </c>
      <c r="W101" s="1177">
        <f t="shared" si="6"/>
        <v>0</v>
      </c>
      <c r="X101" s="1177">
        <f t="shared" si="6"/>
        <v>0</v>
      </c>
      <c r="Y101" s="1177">
        <f t="shared" si="6"/>
        <v>0</v>
      </c>
      <c r="Z101" s="1177">
        <f t="shared" si="6"/>
        <v>0</v>
      </c>
      <c r="AA101" s="1177">
        <f t="shared" si="6"/>
        <v>500</v>
      </c>
      <c r="AB101" s="1177">
        <f t="shared" si="6"/>
        <v>0</v>
      </c>
      <c r="AC101" s="1177">
        <f t="shared" si="6"/>
        <v>500</v>
      </c>
      <c r="AD101" s="1177">
        <f t="shared" si="6"/>
        <v>0</v>
      </c>
      <c r="AE101" s="1177">
        <f t="shared" si="6"/>
        <v>900</v>
      </c>
      <c r="AF101" s="1177">
        <f t="shared" si="6"/>
        <v>0</v>
      </c>
      <c r="AG101" s="1177">
        <f t="shared" si="6"/>
        <v>1500</v>
      </c>
      <c r="AH101" s="1177">
        <f t="shared" si="6"/>
        <v>0</v>
      </c>
      <c r="AI101" s="1177">
        <f t="shared" si="6"/>
        <v>0</v>
      </c>
      <c r="AJ101" s="1178">
        <f t="shared" si="6"/>
        <v>0</v>
      </c>
      <c r="AK101" s="1178">
        <f>SUBTOTAL(9,AK91:AK100)</f>
        <v>-9300</v>
      </c>
      <c r="AL101" s="1179">
        <f>SUBTOTAL(9,AL91:AL100)</f>
        <v>0</v>
      </c>
    </row>
    <row r="102" spans="1:38" ht="110.4" outlineLevel="1" x14ac:dyDescent="0.35">
      <c r="A102" s="1180" t="s">
        <v>1464</v>
      </c>
      <c r="B102" s="1181" t="s">
        <v>1519</v>
      </c>
      <c r="C102" s="1182"/>
      <c r="D102" s="1183"/>
      <c r="E102" s="1184"/>
      <c r="F102" s="1185"/>
      <c r="G102" s="1185"/>
      <c r="H102" s="1185"/>
      <c r="I102" s="1185"/>
      <c r="J102" s="1185"/>
      <c r="K102" s="1185"/>
      <c r="L102" s="1185"/>
      <c r="M102" s="1185"/>
      <c r="N102" s="1185"/>
      <c r="O102" s="1185"/>
      <c r="P102" s="1185"/>
      <c r="Q102" s="1185"/>
      <c r="R102" s="1185"/>
      <c r="S102" s="1185"/>
      <c r="T102" s="1185"/>
      <c r="U102" s="1185"/>
      <c r="V102" s="1185"/>
      <c r="W102" s="1185"/>
      <c r="X102" s="1185"/>
      <c r="Y102" s="1185"/>
      <c r="Z102" s="1185"/>
      <c r="AA102" s="1185"/>
      <c r="AB102" s="1185"/>
      <c r="AC102" s="1185"/>
      <c r="AD102" s="1185"/>
      <c r="AE102" s="1185"/>
      <c r="AF102" s="1185"/>
      <c r="AG102" s="1185"/>
      <c r="AH102" s="1185"/>
      <c r="AI102" s="1185"/>
      <c r="AJ102" s="1186"/>
      <c r="AK102" s="1186">
        <f t="shared" si="5"/>
        <v>0</v>
      </c>
      <c r="AL102" s="1187">
        <f t="shared" si="5"/>
        <v>0</v>
      </c>
    </row>
    <row r="103" spans="1:38" outlineLevel="2" x14ac:dyDescent="0.3">
      <c r="A103" s="1188"/>
      <c r="B103" s="1189" t="s">
        <v>1520</v>
      </c>
      <c r="C103" s="1190" t="s">
        <v>760</v>
      </c>
      <c r="D103" s="1191" t="s">
        <v>764</v>
      </c>
      <c r="E103" s="1192">
        <v>0</v>
      </c>
      <c r="F103" s="1193"/>
      <c r="G103" s="1193">
        <v>0</v>
      </c>
      <c r="H103" s="1193"/>
      <c r="I103" s="1193">
        <v>0</v>
      </c>
      <c r="J103" s="1193"/>
      <c r="K103" s="1193">
        <v>0</v>
      </c>
      <c r="L103" s="1193"/>
      <c r="M103" s="1193">
        <v>2400</v>
      </c>
      <c r="N103" s="1193"/>
      <c r="O103" s="1193">
        <v>3600</v>
      </c>
      <c r="P103" s="1193"/>
      <c r="Q103" s="1193">
        <v>768</v>
      </c>
      <c r="R103" s="1193"/>
      <c r="S103" s="1193">
        <v>0</v>
      </c>
      <c r="T103" s="1193"/>
      <c r="U103" s="1193"/>
      <c r="V103" s="1193"/>
      <c r="W103" s="1193"/>
      <c r="X103" s="1193"/>
      <c r="Y103" s="1193"/>
      <c r="Z103" s="1193"/>
      <c r="AA103" s="1193"/>
      <c r="AB103" s="1193"/>
      <c r="AC103" s="1193"/>
      <c r="AD103" s="1193"/>
      <c r="AE103" s="1193"/>
      <c r="AF103" s="1193"/>
      <c r="AG103" s="1193"/>
      <c r="AH103" s="1193"/>
      <c r="AI103" s="1193"/>
      <c r="AJ103" s="1194"/>
      <c r="AK103" s="1194">
        <f t="shared" si="5"/>
        <v>-6768</v>
      </c>
      <c r="AL103" s="1195">
        <f t="shared" si="5"/>
        <v>0</v>
      </c>
    </row>
    <row r="104" spans="1:38" outlineLevel="2" x14ac:dyDescent="0.3">
      <c r="A104" s="1188"/>
      <c r="B104" s="1189" t="s">
        <v>1225</v>
      </c>
      <c r="C104" s="1190" t="s">
        <v>1521</v>
      </c>
      <c r="D104" s="1191" t="s">
        <v>764</v>
      </c>
      <c r="E104" s="1192">
        <v>0</v>
      </c>
      <c r="F104" s="1193"/>
      <c r="G104" s="1193">
        <v>0</v>
      </c>
      <c r="H104" s="1193"/>
      <c r="I104" s="1193">
        <v>0</v>
      </c>
      <c r="J104" s="1193"/>
      <c r="K104" s="1193">
        <v>0</v>
      </c>
      <c r="L104" s="1193"/>
      <c r="M104" s="1193">
        <v>3600</v>
      </c>
      <c r="N104" s="1193"/>
      <c r="O104" s="1193">
        <v>3600</v>
      </c>
      <c r="P104" s="1193"/>
      <c r="Q104" s="1193">
        <v>2880</v>
      </c>
      <c r="R104" s="1193"/>
      <c r="S104" s="1193">
        <v>0</v>
      </c>
      <c r="T104" s="1193"/>
      <c r="U104" s="1193"/>
      <c r="V104" s="1193"/>
      <c r="W104" s="1193"/>
      <c r="X104" s="1193"/>
      <c r="Y104" s="1193"/>
      <c r="Z104" s="1193"/>
      <c r="AA104" s="1193"/>
      <c r="AB104" s="1193"/>
      <c r="AC104" s="1193"/>
      <c r="AD104" s="1193"/>
      <c r="AE104" s="1193"/>
      <c r="AF104" s="1193"/>
      <c r="AG104" s="1193"/>
      <c r="AH104" s="1193"/>
      <c r="AI104" s="1193"/>
      <c r="AJ104" s="1194"/>
      <c r="AK104" s="1194">
        <f t="shared" si="5"/>
        <v>-10080</v>
      </c>
      <c r="AL104" s="1195">
        <f t="shared" si="5"/>
        <v>0</v>
      </c>
    </row>
    <row r="105" spans="1:38" ht="82.8" outlineLevel="2" x14ac:dyDescent="0.3">
      <c r="A105" s="1188"/>
      <c r="B105" s="1196" t="s">
        <v>1226</v>
      </c>
      <c r="C105" s="1197" t="s">
        <v>1522</v>
      </c>
      <c r="D105" s="1198" t="s">
        <v>764</v>
      </c>
      <c r="E105" s="1199"/>
      <c r="F105" s="1200"/>
      <c r="G105" s="1200"/>
      <c r="H105" s="1200"/>
      <c r="I105" s="1200"/>
      <c r="J105" s="1200"/>
      <c r="K105" s="1200"/>
      <c r="L105" s="1200"/>
      <c r="M105" s="1200">
        <v>1000</v>
      </c>
      <c r="N105" s="1200"/>
      <c r="O105" s="1200">
        <v>1500</v>
      </c>
      <c r="P105" s="1200"/>
      <c r="Q105" s="1200">
        <v>500</v>
      </c>
      <c r="R105" s="1200"/>
      <c r="S105" s="1200"/>
      <c r="T105" s="1200"/>
      <c r="U105" s="1200"/>
      <c r="V105" s="1200"/>
      <c r="W105" s="1200"/>
      <c r="X105" s="1200"/>
      <c r="Y105" s="1200"/>
      <c r="Z105" s="1200"/>
      <c r="AA105" s="1200"/>
      <c r="AB105" s="1200"/>
      <c r="AC105" s="1200"/>
      <c r="AD105" s="1200"/>
      <c r="AE105" s="1200"/>
      <c r="AF105" s="1200"/>
      <c r="AG105" s="1200"/>
      <c r="AH105" s="1200"/>
      <c r="AI105" s="1200"/>
      <c r="AJ105" s="1201"/>
      <c r="AK105" s="1201">
        <f t="shared" si="5"/>
        <v>-3000</v>
      </c>
      <c r="AL105" s="1202">
        <f t="shared" si="5"/>
        <v>0</v>
      </c>
    </row>
    <row r="106" spans="1:38" outlineLevel="2" x14ac:dyDescent="0.3">
      <c r="A106" s="1188"/>
      <c r="B106" s="1196" t="s">
        <v>762</v>
      </c>
      <c r="C106" s="1197" t="s">
        <v>763</v>
      </c>
      <c r="D106" s="1198" t="s">
        <v>764</v>
      </c>
      <c r="E106" s="1199"/>
      <c r="F106" s="1200"/>
      <c r="G106" s="1200"/>
      <c r="H106" s="1200"/>
      <c r="I106" s="1200"/>
      <c r="J106" s="1200"/>
      <c r="K106" s="1200"/>
      <c r="L106" s="1200"/>
      <c r="M106" s="1200">
        <v>1000</v>
      </c>
      <c r="N106" s="1200"/>
      <c r="O106" s="1200">
        <v>2000</v>
      </c>
      <c r="P106" s="1200"/>
      <c r="Q106" s="1200">
        <v>1000</v>
      </c>
      <c r="R106" s="1200"/>
      <c r="S106" s="1200">
        <v>400</v>
      </c>
      <c r="T106" s="1200"/>
      <c r="U106" s="1200"/>
      <c r="V106" s="1200"/>
      <c r="W106" s="1200"/>
      <c r="X106" s="1200"/>
      <c r="Y106" s="1200"/>
      <c r="Z106" s="1200"/>
      <c r="AA106" s="1200"/>
      <c r="AB106" s="1200"/>
      <c r="AC106" s="1200"/>
      <c r="AD106" s="1200"/>
      <c r="AE106" s="1200"/>
      <c r="AF106" s="1200"/>
      <c r="AG106" s="1200"/>
      <c r="AH106" s="1200"/>
      <c r="AI106" s="1200"/>
      <c r="AJ106" s="1201"/>
      <c r="AK106" s="1201">
        <f t="shared" si="5"/>
        <v>-4400</v>
      </c>
      <c r="AL106" s="1202">
        <f t="shared" si="5"/>
        <v>0</v>
      </c>
    </row>
    <row r="107" spans="1:38" outlineLevel="2" x14ac:dyDescent="0.3">
      <c r="A107" s="1188"/>
      <c r="B107" s="1196"/>
      <c r="C107" s="1197"/>
      <c r="D107" s="1198"/>
      <c r="E107" s="1199"/>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c r="AA107" s="1200"/>
      <c r="AB107" s="1200"/>
      <c r="AC107" s="1200"/>
      <c r="AD107" s="1200"/>
      <c r="AE107" s="1200"/>
      <c r="AF107" s="1200"/>
      <c r="AG107" s="1200"/>
      <c r="AH107" s="1200"/>
      <c r="AI107" s="1200"/>
      <c r="AJ107" s="1201"/>
      <c r="AK107" s="1201">
        <f t="shared" ref="AK107:AL109" si="7">SUM(E107,G107,I107)-SUM(K107,M107,O107,Q107,S107,U107,W107,Y107,AA107,AC107,AE107,AG107,AI107)</f>
        <v>0</v>
      </c>
      <c r="AL107" s="1202">
        <f t="shared" si="7"/>
        <v>0</v>
      </c>
    </row>
    <row r="108" spans="1:38" outlineLevel="2" x14ac:dyDescent="0.3">
      <c r="A108" s="1188"/>
      <c r="B108" s="1196"/>
      <c r="C108" s="1197"/>
      <c r="D108" s="1198"/>
      <c r="E108" s="1199"/>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c r="AA108" s="1200"/>
      <c r="AB108" s="1200"/>
      <c r="AC108" s="1200"/>
      <c r="AD108" s="1200"/>
      <c r="AE108" s="1200"/>
      <c r="AF108" s="1200"/>
      <c r="AG108" s="1200"/>
      <c r="AH108" s="1200"/>
      <c r="AI108" s="1200"/>
      <c r="AJ108" s="1201"/>
      <c r="AK108" s="1201">
        <f t="shared" si="7"/>
        <v>0</v>
      </c>
      <c r="AL108" s="1202">
        <f t="shared" si="7"/>
        <v>0</v>
      </c>
    </row>
    <row r="109" spans="1:38" outlineLevel="2" x14ac:dyDescent="0.3">
      <c r="A109" s="1188"/>
      <c r="B109" s="1196"/>
      <c r="C109" s="1197"/>
      <c r="D109" s="1198"/>
      <c r="E109" s="1199"/>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c r="AA109" s="1200"/>
      <c r="AB109" s="1200"/>
      <c r="AC109" s="1200"/>
      <c r="AD109" s="1200"/>
      <c r="AE109" s="1200"/>
      <c r="AF109" s="1200"/>
      <c r="AG109" s="1200"/>
      <c r="AH109" s="1200"/>
      <c r="AI109" s="1200"/>
      <c r="AJ109" s="1201"/>
      <c r="AK109" s="1201">
        <f t="shared" si="7"/>
        <v>0</v>
      </c>
      <c r="AL109" s="1202">
        <f t="shared" si="7"/>
        <v>0</v>
      </c>
    </row>
    <row r="110" spans="1:38" ht="15" outlineLevel="1" thickBot="1" x14ac:dyDescent="0.35">
      <c r="A110" s="1188"/>
      <c r="B110" s="1203" t="s">
        <v>550</v>
      </c>
      <c r="C110" s="1204"/>
      <c r="D110" s="1205"/>
      <c r="E110" s="1206">
        <f t="shared" ref="E110:N110" si="8">SUBTOTAL(9,E102:E109)</f>
        <v>0</v>
      </c>
      <c r="F110" s="1207">
        <f t="shared" si="8"/>
        <v>0</v>
      </c>
      <c r="G110" s="1207">
        <f t="shared" si="8"/>
        <v>0</v>
      </c>
      <c r="H110" s="1207">
        <f t="shared" si="8"/>
        <v>0</v>
      </c>
      <c r="I110" s="1207">
        <f t="shared" si="8"/>
        <v>0</v>
      </c>
      <c r="J110" s="1207">
        <f t="shared" si="8"/>
        <v>0</v>
      </c>
      <c r="K110" s="1207">
        <f t="shared" si="8"/>
        <v>0</v>
      </c>
      <c r="L110" s="1207">
        <f t="shared" si="8"/>
        <v>0</v>
      </c>
      <c r="M110" s="1207">
        <f t="shared" si="8"/>
        <v>8000</v>
      </c>
      <c r="N110" s="1207">
        <f t="shared" si="8"/>
        <v>0</v>
      </c>
      <c r="O110" s="1207">
        <f t="shared" ref="O110:AI110" si="9">SUBTOTAL(9,O102:O109)</f>
        <v>10700</v>
      </c>
      <c r="P110" s="1207">
        <f t="shared" si="9"/>
        <v>0</v>
      </c>
      <c r="Q110" s="1207">
        <f t="shared" si="9"/>
        <v>5148</v>
      </c>
      <c r="R110" s="1207">
        <f t="shared" si="9"/>
        <v>0</v>
      </c>
      <c r="S110" s="1207">
        <f t="shared" si="9"/>
        <v>400</v>
      </c>
      <c r="T110" s="1207">
        <f t="shared" si="9"/>
        <v>0</v>
      </c>
      <c r="U110" s="1207">
        <f t="shared" si="9"/>
        <v>0</v>
      </c>
      <c r="V110" s="1207">
        <f t="shared" si="9"/>
        <v>0</v>
      </c>
      <c r="W110" s="1207">
        <f t="shared" si="9"/>
        <v>0</v>
      </c>
      <c r="X110" s="1207">
        <f t="shared" si="9"/>
        <v>0</v>
      </c>
      <c r="Y110" s="1207">
        <f t="shared" si="9"/>
        <v>0</v>
      </c>
      <c r="Z110" s="1207">
        <f t="shared" si="9"/>
        <v>0</v>
      </c>
      <c r="AA110" s="1207">
        <f t="shared" si="9"/>
        <v>0</v>
      </c>
      <c r="AB110" s="1207">
        <f t="shared" si="9"/>
        <v>0</v>
      </c>
      <c r="AC110" s="1207">
        <f t="shared" si="9"/>
        <v>0</v>
      </c>
      <c r="AD110" s="1207">
        <f t="shared" si="9"/>
        <v>0</v>
      </c>
      <c r="AE110" s="1207">
        <f t="shared" si="9"/>
        <v>0</v>
      </c>
      <c r="AF110" s="1207">
        <f t="shared" si="9"/>
        <v>0</v>
      </c>
      <c r="AG110" s="1207">
        <f t="shared" si="9"/>
        <v>0</v>
      </c>
      <c r="AH110" s="1207">
        <f t="shared" si="9"/>
        <v>0</v>
      </c>
      <c r="AI110" s="1207">
        <f t="shared" si="9"/>
        <v>0</v>
      </c>
      <c r="AJ110" s="1208"/>
      <c r="AK110" s="1208">
        <f>SUBTOTAL(9,AK102:AK109)</f>
        <v>-24248</v>
      </c>
      <c r="AL110" s="1209">
        <f>SUBTOTAL(9,AL102:AL109)</f>
        <v>0</v>
      </c>
    </row>
    <row r="111" spans="1:38" x14ac:dyDescent="0.3">
      <c r="A111" s="98"/>
      <c r="B111" s="660"/>
      <c r="C111" s="660"/>
      <c r="D111" s="660"/>
      <c r="E111" s="941">
        <f>SUM(E110,E101,E90)</f>
        <v>49290</v>
      </c>
      <c r="F111" s="941"/>
      <c r="G111" s="941">
        <f>SUM(G110,G101,G90)</f>
        <v>0</v>
      </c>
      <c r="H111" s="941"/>
      <c r="I111" s="941">
        <f>SUM(I110,I101,I90)</f>
        <v>0</v>
      </c>
      <c r="J111" s="941"/>
      <c r="K111" s="941">
        <v>9600</v>
      </c>
      <c r="L111" s="941"/>
      <c r="M111" s="941">
        <f>SUM(M110,M101,M90)</f>
        <v>9500</v>
      </c>
      <c r="N111" s="941"/>
      <c r="O111" s="941">
        <f>SUM(O110,O101,O90)</f>
        <v>14000</v>
      </c>
      <c r="P111" s="941"/>
      <c r="Q111" s="941">
        <f>SUM(Q110,Q101,Q90)</f>
        <v>6148</v>
      </c>
      <c r="R111" s="941"/>
      <c r="S111" s="941">
        <f>SUM(S110,S101,S90)</f>
        <v>500</v>
      </c>
      <c r="T111" s="941"/>
      <c r="U111" s="941">
        <f>SUM(U110,U101,U90)</f>
        <v>43750</v>
      </c>
      <c r="V111" s="941"/>
      <c r="W111" s="941">
        <f>SUM(W110,W101,W90)</f>
        <v>0</v>
      </c>
      <c r="X111" s="941"/>
      <c r="Y111" s="941">
        <f>SUM(Y110,Y101,Y90)</f>
        <v>0</v>
      </c>
      <c r="Z111" s="941"/>
      <c r="AA111" s="941">
        <f>SUM(AA110,AA101,AA90)</f>
        <v>500</v>
      </c>
      <c r="AB111" s="941"/>
      <c r="AC111" s="941">
        <f>SUM(AC110,AC101,AC90)</f>
        <v>500</v>
      </c>
      <c r="AD111" s="941"/>
      <c r="AE111" s="941">
        <f>SUM(AE110,AE101,AE90)</f>
        <v>5240</v>
      </c>
      <c r="AF111" s="941"/>
      <c r="AG111" s="941">
        <f>SUM(AG110,AG101,AG90)</f>
        <v>1500</v>
      </c>
      <c r="AH111" s="941"/>
      <c r="AI111" s="941">
        <f>SUM(AI110,AI101,AI90)</f>
        <v>0</v>
      </c>
      <c r="AJ111" s="941"/>
      <c r="AK111" s="941"/>
      <c r="AL111" s="941">
        <f>SUM(K111:AI111)-SUM(E111:I111)</f>
        <v>41948</v>
      </c>
    </row>
    <row r="112" spans="1:38" ht="15.6" x14ac:dyDescent="0.3">
      <c r="B112" s="76"/>
      <c r="C112" s="76"/>
      <c r="D112" s="79"/>
      <c r="E112" s="1112"/>
      <c r="F112" s="1112"/>
      <c r="G112" s="660"/>
      <c r="H112" s="1112"/>
      <c r="I112" s="660"/>
      <c r="J112" s="1112"/>
      <c r="K112" s="660"/>
      <c r="L112" s="1112"/>
      <c r="M112" s="660"/>
      <c r="N112" s="1112"/>
      <c r="O112" s="660"/>
      <c r="P112" s="1112"/>
      <c r="Q112" s="660"/>
      <c r="R112" s="1112"/>
      <c r="S112" s="660"/>
      <c r="T112" s="1112"/>
      <c r="U112" s="660"/>
      <c r="V112" s="1112"/>
      <c r="W112" s="660"/>
      <c r="X112" s="1112"/>
      <c r="Y112" s="660"/>
      <c r="Z112" s="1112"/>
      <c r="AA112" s="660"/>
      <c r="AB112" s="1112"/>
      <c r="AC112" s="660"/>
      <c r="AD112" s="1112"/>
      <c r="AE112" s="660"/>
      <c r="AF112" s="1112"/>
      <c r="AG112" s="660"/>
      <c r="AH112" s="1112"/>
      <c r="AI112" s="660"/>
      <c r="AJ112" s="660"/>
      <c r="AK112" s="1108"/>
      <c r="AL112" s="1106"/>
    </row>
    <row r="113" spans="1:38" ht="18" x14ac:dyDescent="0.3">
      <c r="A113" s="1110" t="s">
        <v>1467</v>
      </c>
      <c r="B113" s="1111"/>
      <c r="C113" s="1111"/>
      <c r="D113" s="1111"/>
      <c r="E113" s="1112"/>
      <c r="F113" s="1112"/>
      <c r="G113" s="660"/>
      <c r="H113" s="660"/>
      <c r="I113" s="660"/>
      <c r="J113" s="660"/>
      <c r="K113" s="660"/>
      <c r="L113" s="660"/>
      <c r="M113" s="660"/>
      <c r="N113" s="660"/>
      <c r="O113" s="660"/>
      <c r="P113" s="660"/>
      <c r="Q113" s="660"/>
      <c r="R113" s="660"/>
      <c r="S113" s="660"/>
      <c r="T113" s="660"/>
      <c r="U113" s="660"/>
      <c r="V113" s="660"/>
      <c r="W113" s="660"/>
      <c r="X113" s="660"/>
      <c r="Y113" s="660"/>
      <c r="Z113" s="660"/>
      <c r="AA113" s="660"/>
      <c r="AB113" s="660"/>
      <c r="AC113" s="660"/>
      <c r="AD113" s="660"/>
      <c r="AE113" s="660"/>
      <c r="AF113" s="660"/>
      <c r="AG113" s="660"/>
      <c r="AH113" s="660"/>
      <c r="AI113" s="660"/>
      <c r="AJ113" s="660"/>
      <c r="AK113" s="660"/>
    </row>
    <row r="114" spans="1:38" ht="15" thickBot="1" x14ac:dyDescent="0.35">
      <c r="A114" s="39"/>
      <c r="B114" s="1113"/>
      <c r="C114" s="1113"/>
      <c r="D114" s="1114" t="s">
        <v>1407</v>
      </c>
      <c r="E114" s="1115" t="s">
        <v>69</v>
      </c>
      <c r="F114" s="1116" t="s">
        <v>8</v>
      </c>
      <c r="G114" s="1115" t="s">
        <v>83</v>
      </c>
      <c r="H114" s="1116" t="s">
        <v>8</v>
      </c>
      <c r="I114" s="1115" t="s">
        <v>90</v>
      </c>
      <c r="J114" s="1116" t="s">
        <v>8</v>
      </c>
      <c r="K114" s="1117" t="s">
        <v>134</v>
      </c>
      <c r="L114" s="1118" t="s">
        <v>8</v>
      </c>
      <c r="M114" s="1117" t="s">
        <v>136</v>
      </c>
      <c r="N114" s="1118" t="s">
        <v>8</v>
      </c>
      <c r="O114" s="1117" t="s">
        <v>728</v>
      </c>
      <c r="P114" s="1118" t="s">
        <v>8</v>
      </c>
      <c r="Q114" s="1117" t="s">
        <v>266</v>
      </c>
      <c r="R114" s="1118" t="s">
        <v>8</v>
      </c>
      <c r="S114" s="1117" t="s">
        <v>292</v>
      </c>
      <c r="T114" s="1118" t="s">
        <v>8</v>
      </c>
      <c r="U114" s="1117" t="s">
        <v>335</v>
      </c>
      <c r="V114" s="1118" t="s">
        <v>8</v>
      </c>
      <c r="W114" s="1117" t="s">
        <v>346</v>
      </c>
      <c r="X114" s="1118" t="s">
        <v>8</v>
      </c>
      <c r="Y114" s="1117" t="s">
        <v>357</v>
      </c>
      <c r="Z114" s="1118" t="s">
        <v>8</v>
      </c>
      <c r="AA114" s="1117" t="s">
        <v>364</v>
      </c>
      <c r="AB114" s="1118" t="s">
        <v>8</v>
      </c>
      <c r="AC114" s="1117" t="s">
        <v>376</v>
      </c>
      <c r="AD114" s="1118" t="s">
        <v>8</v>
      </c>
      <c r="AE114" s="1117" t="s">
        <v>386</v>
      </c>
      <c r="AF114" s="1118" t="s">
        <v>8</v>
      </c>
      <c r="AG114" s="1117" t="s">
        <v>398</v>
      </c>
      <c r="AH114" s="1118" t="s">
        <v>8</v>
      </c>
      <c r="AI114" s="1117" t="s">
        <v>424</v>
      </c>
      <c r="AJ114" s="1119" t="s">
        <v>8</v>
      </c>
      <c r="AK114" s="1120" t="s">
        <v>1404</v>
      </c>
      <c r="AL114" s="1121" t="s">
        <v>1405</v>
      </c>
    </row>
    <row r="115" spans="1:38" s="39" customFormat="1" ht="21" customHeight="1" outlineLevel="1" x14ac:dyDescent="0.35">
      <c r="A115" s="1122" t="s">
        <v>1223</v>
      </c>
      <c r="B115" s="1123" t="s">
        <v>625</v>
      </c>
      <c r="C115" s="1124" t="s">
        <v>1408</v>
      </c>
      <c r="D115" s="1125" t="s">
        <v>1409</v>
      </c>
      <c r="E115" s="1126"/>
      <c r="F115" s="1127"/>
      <c r="G115" s="1127"/>
      <c r="H115" s="1127"/>
      <c r="I115" s="1127"/>
      <c r="J115" s="1127"/>
      <c r="K115" s="1127"/>
      <c r="L115" s="1127"/>
      <c r="M115" s="1127"/>
      <c r="N115" s="1127"/>
      <c r="O115" s="1127"/>
      <c r="P115" s="1127"/>
      <c r="Q115" s="1127"/>
      <c r="R115" s="1127"/>
      <c r="S115" s="1127"/>
      <c r="T115" s="1127"/>
      <c r="U115" s="1127"/>
      <c r="V115" s="1127"/>
      <c r="W115" s="1127"/>
      <c r="X115" s="1127"/>
      <c r="Y115" s="1127"/>
      <c r="Z115" s="1127"/>
      <c r="AA115" s="1127"/>
      <c r="AB115" s="1127"/>
      <c r="AC115" s="1127"/>
      <c r="AD115" s="1127"/>
      <c r="AE115" s="1127"/>
      <c r="AF115" s="1127"/>
      <c r="AG115" s="1127"/>
      <c r="AH115" s="1127"/>
      <c r="AI115" s="1127"/>
      <c r="AJ115" s="1128"/>
      <c r="AK115" s="1128"/>
      <c r="AL115" s="1129"/>
    </row>
    <row r="116" spans="1:38" ht="41.4" outlineLevel="2" x14ac:dyDescent="0.3">
      <c r="A116" s="1130"/>
      <c r="B116" s="1131" t="s">
        <v>1410</v>
      </c>
      <c r="C116" s="1132"/>
      <c r="D116" s="1133"/>
      <c r="E116" s="1134"/>
      <c r="F116" s="1135"/>
      <c r="G116" s="1135"/>
      <c r="H116" s="1135"/>
      <c r="I116" s="1135"/>
      <c r="J116" s="1135"/>
      <c r="K116" s="1135"/>
      <c r="L116" s="1135"/>
      <c r="M116" s="1135"/>
      <c r="N116" s="1135"/>
      <c r="O116" s="1135"/>
      <c r="P116" s="1135"/>
      <c r="Q116" s="1135"/>
      <c r="R116" s="1135"/>
      <c r="S116" s="1135"/>
      <c r="T116" s="1135"/>
      <c r="U116" s="1135">
        <v>39937.5</v>
      </c>
      <c r="V116" s="1135"/>
      <c r="W116" s="1135"/>
      <c r="X116" s="1135"/>
      <c r="Y116" s="1135"/>
      <c r="Z116" s="1135"/>
      <c r="AA116" s="1135"/>
      <c r="AB116" s="1135"/>
      <c r="AC116" s="1135"/>
      <c r="AD116" s="1135"/>
      <c r="AE116" s="1135">
        <f>18.5*3*50</f>
        <v>2775</v>
      </c>
      <c r="AF116" s="1135"/>
      <c r="AG116" s="1135">
        <v>1340</v>
      </c>
      <c r="AH116" s="1135"/>
      <c r="AI116" s="1135">
        <v>0</v>
      </c>
      <c r="AJ116" s="1136"/>
      <c r="AK116" s="1136"/>
      <c r="AL116" s="1137"/>
    </row>
    <row r="117" spans="1:38" ht="42" customHeight="1" outlineLevel="2" x14ac:dyDescent="0.3">
      <c r="A117" s="1130"/>
      <c r="B117" s="1131" t="s">
        <v>1411</v>
      </c>
      <c r="C117" s="1132" t="s">
        <v>1412</v>
      </c>
      <c r="D117" s="1133" t="s">
        <v>1413</v>
      </c>
      <c r="E117" s="1134">
        <f>46150/50</f>
        <v>923</v>
      </c>
      <c r="F117" s="1135">
        <v>399.2</v>
      </c>
      <c r="G117" s="1135">
        <v>0</v>
      </c>
      <c r="H117" s="1135">
        <v>0</v>
      </c>
      <c r="I117" s="1135">
        <v>0</v>
      </c>
      <c r="J117" s="1135">
        <v>0</v>
      </c>
      <c r="K117" s="1135">
        <f>1800/50</f>
        <v>36</v>
      </c>
      <c r="L117" s="1135">
        <v>0</v>
      </c>
      <c r="M117" s="1135">
        <v>0</v>
      </c>
      <c r="N117" s="1135">
        <v>0</v>
      </c>
      <c r="O117" s="1135">
        <v>0</v>
      </c>
      <c r="P117" s="1135">
        <v>0</v>
      </c>
      <c r="Q117" s="1135">
        <v>0</v>
      </c>
      <c r="R117" s="1135">
        <v>0</v>
      </c>
      <c r="S117" s="1135">
        <v>0</v>
      </c>
      <c r="T117" s="1135">
        <v>0</v>
      </c>
      <c r="U117" s="1135">
        <f>$U$116/50</f>
        <v>798.75</v>
      </c>
      <c r="V117" s="1135">
        <v>0</v>
      </c>
      <c r="W117" s="1135">
        <v>0</v>
      </c>
      <c r="X117" s="1135">
        <v>0</v>
      </c>
      <c r="Y117" s="1135">
        <v>0</v>
      </c>
      <c r="Z117" s="1135">
        <v>0</v>
      </c>
      <c r="AA117" s="1135">
        <v>0</v>
      </c>
      <c r="AB117" s="1135">
        <v>0</v>
      </c>
      <c r="AC117" s="1135">
        <v>0</v>
      </c>
      <c r="AD117" s="1135">
        <v>0</v>
      </c>
      <c r="AE117" s="1135">
        <f>18.5*3</f>
        <v>55.5</v>
      </c>
      <c r="AF117" s="1135">
        <v>0</v>
      </c>
      <c r="AG117" s="1135">
        <f>1340/50</f>
        <v>26.8</v>
      </c>
      <c r="AH117" s="1135">
        <v>0</v>
      </c>
      <c r="AI117" s="1135">
        <v>0</v>
      </c>
      <c r="AJ117" s="1136"/>
      <c r="AK117" s="1137">
        <f t="shared" ref="AK117:AL148" si="10">SUM(E117,G117,I117)-SUM(K117,M117,O117,Q117,S117,U117,W117,Y117,AA117,AC117,AE117,AG117,AI117)</f>
        <v>5.9500000000000455</v>
      </c>
      <c r="AL117" s="1137">
        <f t="shared" si="10"/>
        <v>399.2</v>
      </c>
    </row>
    <row r="118" spans="1:38" ht="27.6" outlineLevel="2" x14ac:dyDescent="0.3">
      <c r="A118" s="1130"/>
      <c r="B118" s="1131" t="s">
        <v>1414</v>
      </c>
      <c r="C118" s="1132" t="s">
        <v>1415</v>
      </c>
      <c r="D118" s="1133" t="s">
        <v>1416</v>
      </c>
      <c r="E118" s="1134">
        <f t="shared" ref="E118:E166" si="11">46150/50</f>
        <v>923</v>
      </c>
      <c r="F118" s="1135">
        <v>199.6</v>
      </c>
      <c r="G118" s="1135">
        <v>0</v>
      </c>
      <c r="H118" s="1135">
        <v>0</v>
      </c>
      <c r="I118" s="1135">
        <v>0</v>
      </c>
      <c r="J118" s="1135">
        <v>0</v>
      </c>
      <c r="K118" s="1135">
        <f t="shared" ref="K118:K166" si="12">1800/50</f>
        <v>36</v>
      </c>
      <c r="L118" s="1135">
        <v>0</v>
      </c>
      <c r="M118" s="1135">
        <v>0</v>
      </c>
      <c r="N118" s="1135">
        <v>0</v>
      </c>
      <c r="O118" s="1135">
        <v>0</v>
      </c>
      <c r="P118" s="1135">
        <v>0</v>
      </c>
      <c r="Q118" s="1135">
        <v>0</v>
      </c>
      <c r="R118" s="1135">
        <v>0</v>
      </c>
      <c r="S118" s="1135">
        <v>0</v>
      </c>
      <c r="T118" s="1135">
        <v>0</v>
      </c>
      <c r="U118" s="1135">
        <f t="shared" ref="U118:U166" si="13">$U$116/50</f>
        <v>798.75</v>
      </c>
      <c r="V118" s="1135">
        <v>0</v>
      </c>
      <c r="W118" s="1135">
        <v>0</v>
      </c>
      <c r="X118" s="1135">
        <v>0</v>
      </c>
      <c r="Y118" s="1135">
        <v>0</v>
      </c>
      <c r="Z118" s="1135">
        <v>0</v>
      </c>
      <c r="AA118" s="1135">
        <v>0</v>
      </c>
      <c r="AB118" s="1135">
        <v>0</v>
      </c>
      <c r="AC118" s="1135">
        <v>0</v>
      </c>
      <c r="AD118" s="1135">
        <v>0</v>
      </c>
      <c r="AE118" s="1135">
        <f t="shared" ref="AE118:AE166" si="14">18.5*3</f>
        <v>55.5</v>
      </c>
      <c r="AF118" s="1135">
        <v>0</v>
      </c>
      <c r="AG118" s="1135">
        <f t="shared" ref="AG118:AG166" si="15">1340/50</f>
        <v>26.8</v>
      </c>
      <c r="AH118" s="1135">
        <v>0</v>
      </c>
      <c r="AI118" s="1135">
        <v>0</v>
      </c>
      <c r="AJ118" s="1136"/>
      <c r="AK118" s="1137">
        <f t="shared" si="10"/>
        <v>5.9500000000000455</v>
      </c>
      <c r="AL118" s="1137">
        <f t="shared" si="10"/>
        <v>199.6</v>
      </c>
    </row>
    <row r="119" spans="1:38" outlineLevel="2" x14ac:dyDescent="0.3">
      <c r="A119" s="1130"/>
      <c r="B119" s="1138" t="s">
        <v>1417</v>
      </c>
      <c r="C119" s="1139" t="s">
        <v>1418</v>
      </c>
      <c r="D119" s="1140" t="s">
        <v>1413</v>
      </c>
      <c r="E119" s="1134">
        <f t="shared" si="11"/>
        <v>923</v>
      </c>
      <c r="F119" s="1141">
        <v>199.6</v>
      </c>
      <c r="G119" s="1141"/>
      <c r="H119" s="1141"/>
      <c r="I119" s="1141"/>
      <c r="J119" s="1141"/>
      <c r="K119" s="1135">
        <f t="shared" si="12"/>
        <v>36</v>
      </c>
      <c r="L119" s="1141"/>
      <c r="M119" s="1141"/>
      <c r="N119" s="1141"/>
      <c r="O119" s="1141"/>
      <c r="P119" s="1141"/>
      <c r="Q119" s="1141"/>
      <c r="R119" s="1141"/>
      <c r="S119" s="1141"/>
      <c r="T119" s="1141"/>
      <c r="U119" s="1135">
        <f t="shared" si="13"/>
        <v>798.75</v>
      </c>
      <c r="V119" s="1141"/>
      <c r="W119" s="1141"/>
      <c r="X119" s="1141"/>
      <c r="Y119" s="1141"/>
      <c r="Z119" s="1141"/>
      <c r="AA119" s="1141"/>
      <c r="AB119" s="1141"/>
      <c r="AC119" s="1141"/>
      <c r="AD119" s="1141"/>
      <c r="AE119" s="1135">
        <f t="shared" si="14"/>
        <v>55.5</v>
      </c>
      <c r="AF119" s="1141"/>
      <c r="AG119" s="1135">
        <f t="shared" si="15"/>
        <v>26.8</v>
      </c>
      <c r="AH119" s="1141"/>
      <c r="AI119" s="1141"/>
      <c r="AJ119" s="1142"/>
      <c r="AK119" s="1137">
        <f t="shared" si="10"/>
        <v>5.9500000000000455</v>
      </c>
      <c r="AL119" s="1137">
        <f t="shared" si="10"/>
        <v>199.6</v>
      </c>
    </row>
    <row r="120" spans="1:38" outlineLevel="2" x14ac:dyDescent="0.3">
      <c r="A120" s="1130"/>
      <c r="B120" s="1138" t="s">
        <v>1419</v>
      </c>
      <c r="C120" s="1139" t="s">
        <v>1420</v>
      </c>
      <c r="D120" s="1140" t="s">
        <v>1421</v>
      </c>
      <c r="E120" s="1134">
        <f t="shared" si="11"/>
        <v>923</v>
      </c>
      <c r="F120" s="1141">
        <v>449.09999999999997</v>
      </c>
      <c r="G120" s="1141"/>
      <c r="H120" s="1141"/>
      <c r="I120" s="1141"/>
      <c r="J120" s="1141"/>
      <c r="K120" s="1135">
        <f t="shared" si="12"/>
        <v>36</v>
      </c>
      <c r="L120" s="1141"/>
      <c r="M120" s="1141"/>
      <c r="N120" s="1141"/>
      <c r="O120" s="1141"/>
      <c r="P120" s="1141"/>
      <c r="Q120" s="1141"/>
      <c r="R120" s="1141"/>
      <c r="S120" s="1141"/>
      <c r="T120" s="1141"/>
      <c r="U120" s="1135">
        <f t="shared" si="13"/>
        <v>798.75</v>
      </c>
      <c r="V120" s="1141"/>
      <c r="W120" s="1141"/>
      <c r="X120" s="1141"/>
      <c r="Y120" s="1141"/>
      <c r="Z120" s="1141"/>
      <c r="AA120" s="1141"/>
      <c r="AB120" s="1141"/>
      <c r="AC120" s="1141"/>
      <c r="AD120" s="1141"/>
      <c r="AE120" s="1135">
        <f t="shared" si="14"/>
        <v>55.5</v>
      </c>
      <c r="AF120" s="1141"/>
      <c r="AG120" s="1135">
        <f t="shared" si="15"/>
        <v>26.8</v>
      </c>
      <c r="AH120" s="1141"/>
      <c r="AI120" s="1141"/>
      <c r="AJ120" s="1142"/>
      <c r="AK120" s="1137">
        <f t="shared" si="10"/>
        <v>5.9500000000000455</v>
      </c>
      <c r="AL120" s="1137">
        <f t="shared" si="10"/>
        <v>449.09999999999997</v>
      </c>
    </row>
    <row r="121" spans="1:38" outlineLevel="2" x14ac:dyDescent="0.3">
      <c r="A121" s="1130"/>
      <c r="B121" s="1138" t="s">
        <v>1422</v>
      </c>
      <c r="C121" s="1139" t="s">
        <v>1420</v>
      </c>
      <c r="D121" s="1140" t="s">
        <v>1413</v>
      </c>
      <c r="E121" s="1134">
        <f t="shared" si="11"/>
        <v>923</v>
      </c>
      <c r="F121" s="1141">
        <v>249.5</v>
      </c>
      <c r="G121" s="1141"/>
      <c r="H121" s="1141"/>
      <c r="I121" s="1141"/>
      <c r="J121" s="1141"/>
      <c r="K121" s="1135">
        <f t="shared" si="12"/>
        <v>36</v>
      </c>
      <c r="L121" s="1141"/>
      <c r="M121" s="1141"/>
      <c r="N121" s="1141"/>
      <c r="O121" s="1141"/>
      <c r="P121" s="1141"/>
      <c r="Q121" s="1141"/>
      <c r="R121" s="1141"/>
      <c r="S121" s="1141"/>
      <c r="T121" s="1141"/>
      <c r="U121" s="1135">
        <f t="shared" si="13"/>
        <v>798.75</v>
      </c>
      <c r="V121" s="1141"/>
      <c r="W121" s="1141"/>
      <c r="X121" s="1141"/>
      <c r="Y121" s="1141"/>
      <c r="Z121" s="1141"/>
      <c r="AA121" s="1141"/>
      <c r="AB121" s="1141"/>
      <c r="AC121" s="1141"/>
      <c r="AD121" s="1141"/>
      <c r="AE121" s="1135">
        <f t="shared" si="14"/>
        <v>55.5</v>
      </c>
      <c r="AF121" s="1141"/>
      <c r="AG121" s="1135">
        <f t="shared" si="15"/>
        <v>26.8</v>
      </c>
      <c r="AH121" s="1141"/>
      <c r="AI121" s="1141"/>
      <c r="AJ121" s="1142"/>
      <c r="AK121" s="1137">
        <f t="shared" si="10"/>
        <v>5.9500000000000455</v>
      </c>
      <c r="AL121" s="1137">
        <f t="shared" si="10"/>
        <v>249.5</v>
      </c>
    </row>
    <row r="122" spans="1:38" outlineLevel="2" x14ac:dyDescent="0.3">
      <c r="A122" s="1130"/>
      <c r="B122" s="1138" t="s">
        <v>1423</v>
      </c>
      <c r="C122" s="1139" t="s">
        <v>1424</v>
      </c>
      <c r="D122" s="1140" t="s">
        <v>1425</v>
      </c>
      <c r="E122" s="1134">
        <f t="shared" si="11"/>
        <v>923</v>
      </c>
      <c r="F122" s="1141">
        <v>399.2</v>
      </c>
      <c r="G122" s="1141"/>
      <c r="H122" s="1141"/>
      <c r="I122" s="1141"/>
      <c r="J122" s="1141"/>
      <c r="K122" s="1135">
        <f t="shared" si="12"/>
        <v>36</v>
      </c>
      <c r="L122" s="1141"/>
      <c r="M122" s="1141"/>
      <c r="N122" s="1141"/>
      <c r="O122" s="1141"/>
      <c r="P122" s="1141"/>
      <c r="Q122" s="1141"/>
      <c r="R122" s="1141"/>
      <c r="S122" s="1141"/>
      <c r="T122" s="1141"/>
      <c r="U122" s="1135">
        <f t="shared" si="13"/>
        <v>798.75</v>
      </c>
      <c r="V122" s="1141"/>
      <c r="W122" s="1141"/>
      <c r="X122" s="1141"/>
      <c r="Y122" s="1141"/>
      <c r="Z122" s="1141"/>
      <c r="AA122" s="1141"/>
      <c r="AB122" s="1141"/>
      <c r="AC122" s="1141"/>
      <c r="AD122" s="1141"/>
      <c r="AE122" s="1135">
        <f t="shared" si="14"/>
        <v>55.5</v>
      </c>
      <c r="AF122" s="1141"/>
      <c r="AG122" s="1135">
        <f t="shared" si="15"/>
        <v>26.8</v>
      </c>
      <c r="AH122" s="1141"/>
      <c r="AI122" s="1141"/>
      <c r="AJ122" s="1142"/>
      <c r="AK122" s="1137">
        <f t="shared" si="10"/>
        <v>5.9500000000000455</v>
      </c>
      <c r="AL122" s="1137">
        <f t="shared" si="10"/>
        <v>399.2</v>
      </c>
    </row>
    <row r="123" spans="1:38" ht="27.6" outlineLevel="2" x14ac:dyDescent="0.3">
      <c r="A123" s="1130"/>
      <c r="B123" s="1138" t="s">
        <v>1426</v>
      </c>
      <c r="C123" s="1139" t="s">
        <v>1424</v>
      </c>
      <c r="D123" s="1140" t="s">
        <v>1427</v>
      </c>
      <c r="E123" s="1134">
        <f t="shared" si="11"/>
        <v>923</v>
      </c>
      <c r="F123" s="1141">
        <v>249.5</v>
      </c>
      <c r="G123" s="1141"/>
      <c r="H123" s="1141"/>
      <c r="I123" s="1141"/>
      <c r="J123" s="1141"/>
      <c r="K123" s="1135">
        <f t="shared" si="12"/>
        <v>36</v>
      </c>
      <c r="L123" s="1141"/>
      <c r="M123" s="1141"/>
      <c r="N123" s="1141"/>
      <c r="O123" s="1141"/>
      <c r="P123" s="1141"/>
      <c r="Q123" s="1141"/>
      <c r="R123" s="1141"/>
      <c r="S123" s="1141"/>
      <c r="T123" s="1141"/>
      <c r="U123" s="1135">
        <f t="shared" si="13"/>
        <v>798.75</v>
      </c>
      <c r="V123" s="1141"/>
      <c r="W123" s="1141"/>
      <c r="X123" s="1141"/>
      <c r="Y123" s="1141"/>
      <c r="Z123" s="1141"/>
      <c r="AA123" s="1141"/>
      <c r="AB123" s="1141"/>
      <c r="AC123" s="1141"/>
      <c r="AD123" s="1141"/>
      <c r="AE123" s="1135">
        <f t="shared" si="14"/>
        <v>55.5</v>
      </c>
      <c r="AF123" s="1141"/>
      <c r="AG123" s="1135">
        <f t="shared" si="15"/>
        <v>26.8</v>
      </c>
      <c r="AH123" s="1141"/>
      <c r="AI123" s="1141"/>
      <c r="AJ123" s="1142"/>
      <c r="AK123" s="1137">
        <f t="shared" si="10"/>
        <v>5.9500000000000455</v>
      </c>
      <c r="AL123" s="1137">
        <f t="shared" si="10"/>
        <v>249.5</v>
      </c>
    </row>
    <row r="124" spans="1:38" outlineLevel="2" x14ac:dyDescent="0.3">
      <c r="A124" s="1130"/>
      <c r="B124" s="1138" t="s">
        <v>1428</v>
      </c>
      <c r="C124" s="1139" t="s">
        <v>1424</v>
      </c>
      <c r="D124" s="1140" t="s">
        <v>1421</v>
      </c>
      <c r="E124" s="1134">
        <f t="shared" si="11"/>
        <v>923</v>
      </c>
      <c r="F124" s="1141">
        <v>249.5</v>
      </c>
      <c r="G124" s="1141"/>
      <c r="H124" s="1141"/>
      <c r="I124" s="1141"/>
      <c r="J124" s="1141"/>
      <c r="K124" s="1135">
        <f t="shared" si="12"/>
        <v>36</v>
      </c>
      <c r="L124" s="1141"/>
      <c r="M124" s="1141"/>
      <c r="N124" s="1141"/>
      <c r="O124" s="1141"/>
      <c r="P124" s="1141"/>
      <c r="Q124" s="1141"/>
      <c r="R124" s="1141"/>
      <c r="S124" s="1141"/>
      <c r="T124" s="1141"/>
      <c r="U124" s="1135">
        <f t="shared" si="13"/>
        <v>798.75</v>
      </c>
      <c r="V124" s="1141"/>
      <c r="W124" s="1141"/>
      <c r="X124" s="1141"/>
      <c r="Y124" s="1141"/>
      <c r="Z124" s="1141"/>
      <c r="AA124" s="1141"/>
      <c r="AB124" s="1141"/>
      <c r="AC124" s="1141"/>
      <c r="AD124" s="1141"/>
      <c r="AE124" s="1135">
        <f t="shared" si="14"/>
        <v>55.5</v>
      </c>
      <c r="AF124" s="1141"/>
      <c r="AG124" s="1135">
        <f t="shared" si="15"/>
        <v>26.8</v>
      </c>
      <c r="AH124" s="1141"/>
      <c r="AI124" s="1141"/>
      <c r="AJ124" s="1142"/>
      <c r="AK124" s="1137">
        <f t="shared" si="10"/>
        <v>5.9500000000000455</v>
      </c>
      <c r="AL124" s="1137">
        <f t="shared" si="10"/>
        <v>249.5</v>
      </c>
    </row>
    <row r="125" spans="1:38" ht="27.6" outlineLevel="2" x14ac:dyDescent="0.3">
      <c r="A125" s="1130"/>
      <c r="B125" s="1138" t="s">
        <v>1429</v>
      </c>
      <c r="C125" s="1139" t="s">
        <v>1430</v>
      </c>
      <c r="D125" s="1140" t="s">
        <v>1431</v>
      </c>
      <c r="E125" s="1134">
        <f t="shared" si="11"/>
        <v>923</v>
      </c>
      <c r="F125" s="1141">
        <v>399.2</v>
      </c>
      <c r="G125" s="1141"/>
      <c r="H125" s="1141"/>
      <c r="I125" s="1141"/>
      <c r="J125" s="1141"/>
      <c r="K125" s="1135">
        <f t="shared" si="12"/>
        <v>36</v>
      </c>
      <c r="L125" s="1141"/>
      <c r="M125" s="1141"/>
      <c r="N125" s="1141"/>
      <c r="O125" s="1141"/>
      <c r="P125" s="1141"/>
      <c r="Q125" s="1141"/>
      <c r="R125" s="1141"/>
      <c r="S125" s="1141"/>
      <c r="T125" s="1141"/>
      <c r="U125" s="1135">
        <f t="shared" si="13"/>
        <v>798.75</v>
      </c>
      <c r="V125" s="1141"/>
      <c r="W125" s="1141"/>
      <c r="X125" s="1141"/>
      <c r="Y125" s="1141"/>
      <c r="Z125" s="1141"/>
      <c r="AA125" s="1141"/>
      <c r="AB125" s="1141"/>
      <c r="AC125" s="1141"/>
      <c r="AD125" s="1141"/>
      <c r="AE125" s="1135">
        <f t="shared" si="14"/>
        <v>55.5</v>
      </c>
      <c r="AF125" s="1141"/>
      <c r="AG125" s="1135">
        <f t="shared" si="15"/>
        <v>26.8</v>
      </c>
      <c r="AH125" s="1141"/>
      <c r="AI125" s="1141"/>
      <c r="AJ125" s="1142"/>
      <c r="AK125" s="1137">
        <f t="shared" si="10"/>
        <v>5.9500000000000455</v>
      </c>
      <c r="AL125" s="1137">
        <f t="shared" si="10"/>
        <v>399.2</v>
      </c>
    </row>
    <row r="126" spans="1:38" ht="27.6" outlineLevel="2" x14ac:dyDescent="0.3">
      <c r="A126" s="1130"/>
      <c r="B126" s="1138" t="s">
        <v>1432</v>
      </c>
      <c r="C126" s="1139" t="s">
        <v>1433</v>
      </c>
      <c r="D126" s="1140" t="s">
        <v>1413</v>
      </c>
      <c r="E126" s="1134">
        <f t="shared" si="11"/>
        <v>923</v>
      </c>
      <c r="F126" s="1141">
        <v>99.8</v>
      </c>
      <c r="G126" s="1141"/>
      <c r="H126" s="1141"/>
      <c r="I126" s="1141"/>
      <c r="J126" s="1141"/>
      <c r="K126" s="1135">
        <f t="shared" si="12"/>
        <v>36</v>
      </c>
      <c r="L126" s="1141"/>
      <c r="M126" s="1141"/>
      <c r="N126" s="1141"/>
      <c r="O126" s="1141"/>
      <c r="P126" s="1141"/>
      <c r="Q126" s="1141"/>
      <c r="R126" s="1141"/>
      <c r="S126" s="1141"/>
      <c r="T126" s="1141"/>
      <c r="U126" s="1135">
        <f t="shared" si="13"/>
        <v>798.75</v>
      </c>
      <c r="V126" s="1141"/>
      <c r="W126" s="1141"/>
      <c r="X126" s="1141"/>
      <c r="Y126" s="1141"/>
      <c r="Z126" s="1141"/>
      <c r="AA126" s="1141"/>
      <c r="AB126" s="1141"/>
      <c r="AC126" s="1141"/>
      <c r="AD126" s="1141"/>
      <c r="AE126" s="1135">
        <f t="shared" si="14"/>
        <v>55.5</v>
      </c>
      <c r="AF126" s="1141"/>
      <c r="AG126" s="1135">
        <f t="shared" si="15"/>
        <v>26.8</v>
      </c>
      <c r="AH126" s="1141"/>
      <c r="AI126" s="1141"/>
      <c r="AJ126" s="1142"/>
      <c r="AK126" s="1137">
        <f t="shared" si="10"/>
        <v>5.9500000000000455</v>
      </c>
      <c r="AL126" s="1137">
        <f t="shared" si="10"/>
        <v>99.8</v>
      </c>
    </row>
    <row r="127" spans="1:38" ht="27.6" outlineLevel="2" x14ac:dyDescent="0.3">
      <c r="A127" s="1130"/>
      <c r="B127" s="1138" t="s">
        <v>1434</v>
      </c>
      <c r="C127" s="1139" t="s">
        <v>1435</v>
      </c>
      <c r="D127" s="1140" t="s">
        <v>1436</v>
      </c>
      <c r="E127" s="1134">
        <f t="shared" si="11"/>
        <v>923</v>
      </c>
      <c r="F127" s="1141">
        <v>499</v>
      </c>
      <c r="G127" s="1141"/>
      <c r="H127" s="1141"/>
      <c r="I127" s="1141"/>
      <c r="J127" s="1141"/>
      <c r="K127" s="1135">
        <f t="shared" si="12"/>
        <v>36</v>
      </c>
      <c r="L127" s="1141"/>
      <c r="M127" s="1141"/>
      <c r="N127" s="1141"/>
      <c r="O127" s="1141"/>
      <c r="P127" s="1141"/>
      <c r="Q127" s="1141"/>
      <c r="R127" s="1141"/>
      <c r="S127" s="1141"/>
      <c r="T127" s="1141"/>
      <c r="U127" s="1135">
        <f t="shared" si="13"/>
        <v>798.75</v>
      </c>
      <c r="V127" s="1141"/>
      <c r="W127" s="1141"/>
      <c r="X127" s="1141"/>
      <c r="Y127" s="1141"/>
      <c r="Z127" s="1141"/>
      <c r="AA127" s="1141"/>
      <c r="AB127" s="1141"/>
      <c r="AC127" s="1141"/>
      <c r="AD127" s="1141"/>
      <c r="AE127" s="1135">
        <f t="shared" si="14"/>
        <v>55.5</v>
      </c>
      <c r="AF127" s="1141"/>
      <c r="AG127" s="1135">
        <f t="shared" si="15"/>
        <v>26.8</v>
      </c>
      <c r="AH127" s="1141"/>
      <c r="AI127" s="1141"/>
      <c r="AJ127" s="1142"/>
      <c r="AK127" s="1137">
        <f t="shared" si="10"/>
        <v>5.9500000000000455</v>
      </c>
      <c r="AL127" s="1137">
        <f t="shared" si="10"/>
        <v>499</v>
      </c>
    </row>
    <row r="128" spans="1:38" ht="27.6" outlineLevel="2" x14ac:dyDescent="0.3">
      <c r="A128" s="1130"/>
      <c r="B128" s="1138" t="s">
        <v>1437</v>
      </c>
      <c r="C128" s="1139" t="s">
        <v>1435</v>
      </c>
      <c r="D128" s="1140" t="s">
        <v>1425</v>
      </c>
      <c r="E128" s="1134">
        <f t="shared" si="11"/>
        <v>923</v>
      </c>
      <c r="F128" s="1141">
        <v>149.69999999999999</v>
      </c>
      <c r="G128" s="1141"/>
      <c r="H128" s="1141"/>
      <c r="I128" s="1141"/>
      <c r="J128" s="1141"/>
      <c r="K128" s="1135">
        <f t="shared" si="12"/>
        <v>36</v>
      </c>
      <c r="L128" s="1141"/>
      <c r="M128" s="1141"/>
      <c r="N128" s="1141"/>
      <c r="O128" s="1141"/>
      <c r="P128" s="1141"/>
      <c r="Q128" s="1141"/>
      <c r="R128" s="1141"/>
      <c r="S128" s="1141"/>
      <c r="T128" s="1141"/>
      <c r="U128" s="1135">
        <f t="shared" si="13"/>
        <v>798.75</v>
      </c>
      <c r="V128" s="1141"/>
      <c r="W128" s="1141"/>
      <c r="X128" s="1141"/>
      <c r="Y128" s="1141"/>
      <c r="Z128" s="1141"/>
      <c r="AA128" s="1141"/>
      <c r="AB128" s="1141"/>
      <c r="AC128" s="1141"/>
      <c r="AD128" s="1141"/>
      <c r="AE128" s="1135">
        <f t="shared" si="14"/>
        <v>55.5</v>
      </c>
      <c r="AF128" s="1141"/>
      <c r="AG128" s="1135">
        <f t="shared" si="15"/>
        <v>26.8</v>
      </c>
      <c r="AH128" s="1141"/>
      <c r="AI128" s="1141"/>
      <c r="AJ128" s="1142"/>
      <c r="AK128" s="1137">
        <f t="shared" si="10"/>
        <v>5.9500000000000455</v>
      </c>
      <c r="AL128" s="1137">
        <f t="shared" si="10"/>
        <v>149.69999999999999</v>
      </c>
    </row>
    <row r="129" spans="1:38" outlineLevel="2" x14ac:dyDescent="0.3">
      <c r="A129" s="1130"/>
      <c r="B129" s="1138" t="s">
        <v>1438</v>
      </c>
      <c r="C129" s="1139" t="s">
        <v>1439</v>
      </c>
      <c r="D129" s="1140" t="s">
        <v>1440</v>
      </c>
      <c r="E129" s="1134">
        <f t="shared" si="11"/>
        <v>923</v>
      </c>
      <c r="F129" s="1141">
        <v>399.2</v>
      </c>
      <c r="G129" s="1141"/>
      <c r="H129" s="1141"/>
      <c r="I129" s="1141"/>
      <c r="J129" s="1141"/>
      <c r="K129" s="1135">
        <f t="shared" si="12"/>
        <v>36</v>
      </c>
      <c r="L129" s="1141"/>
      <c r="M129" s="1141"/>
      <c r="N129" s="1141"/>
      <c r="O129" s="1141"/>
      <c r="P129" s="1141"/>
      <c r="Q129" s="1141"/>
      <c r="R129" s="1141"/>
      <c r="S129" s="1141"/>
      <c r="T129" s="1141"/>
      <c r="U129" s="1135">
        <f t="shared" si="13"/>
        <v>798.75</v>
      </c>
      <c r="V129" s="1141"/>
      <c r="W129" s="1141"/>
      <c r="X129" s="1141"/>
      <c r="Y129" s="1141"/>
      <c r="Z129" s="1141"/>
      <c r="AA129" s="1141"/>
      <c r="AB129" s="1141"/>
      <c r="AC129" s="1141"/>
      <c r="AD129" s="1141"/>
      <c r="AE129" s="1135">
        <f t="shared" si="14"/>
        <v>55.5</v>
      </c>
      <c r="AF129" s="1141"/>
      <c r="AG129" s="1135">
        <f t="shared" si="15"/>
        <v>26.8</v>
      </c>
      <c r="AH129" s="1141"/>
      <c r="AI129" s="1141"/>
      <c r="AJ129" s="1142"/>
      <c r="AK129" s="1137">
        <f t="shared" si="10"/>
        <v>5.9500000000000455</v>
      </c>
      <c r="AL129" s="1137">
        <f t="shared" si="10"/>
        <v>399.2</v>
      </c>
    </row>
    <row r="130" spans="1:38" outlineLevel="2" x14ac:dyDescent="0.3">
      <c r="A130" s="1130"/>
      <c r="B130" s="1138" t="s">
        <v>1441</v>
      </c>
      <c r="C130" s="1139" t="s">
        <v>1435</v>
      </c>
      <c r="D130" s="1140" t="s">
        <v>1442</v>
      </c>
      <c r="E130" s="1134">
        <f t="shared" si="11"/>
        <v>923</v>
      </c>
      <c r="F130" s="1141">
        <v>149.69999999999999</v>
      </c>
      <c r="G130" s="1141"/>
      <c r="H130" s="1141"/>
      <c r="I130" s="1141"/>
      <c r="J130" s="1141"/>
      <c r="K130" s="1135">
        <f t="shared" si="12"/>
        <v>36</v>
      </c>
      <c r="L130" s="1141"/>
      <c r="M130" s="1141"/>
      <c r="N130" s="1141"/>
      <c r="O130" s="1141"/>
      <c r="P130" s="1141"/>
      <c r="Q130" s="1141"/>
      <c r="R130" s="1141"/>
      <c r="S130" s="1141"/>
      <c r="T130" s="1141"/>
      <c r="U130" s="1135">
        <f t="shared" si="13"/>
        <v>798.75</v>
      </c>
      <c r="V130" s="1141"/>
      <c r="W130" s="1141"/>
      <c r="X130" s="1141"/>
      <c r="Y130" s="1141"/>
      <c r="Z130" s="1141"/>
      <c r="AA130" s="1141"/>
      <c r="AB130" s="1141"/>
      <c r="AC130" s="1141"/>
      <c r="AD130" s="1141"/>
      <c r="AE130" s="1135">
        <f t="shared" si="14"/>
        <v>55.5</v>
      </c>
      <c r="AF130" s="1141"/>
      <c r="AG130" s="1135">
        <f t="shared" si="15"/>
        <v>26.8</v>
      </c>
      <c r="AH130" s="1141"/>
      <c r="AI130" s="1141"/>
      <c r="AJ130" s="1142"/>
      <c r="AK130" s="1137">
        <f t="shared" si="10"/>
        <v>5.9500000000000455</v>
      </c>
      <c r="AL130" s="1137">
        <f t="shared" si="10"/>
        <v>149.69999999999999</v>
      </c>
    </row>
    <row r="131" spans="1:38" outlineLevel="2" x14ac:dyDescent="0.3">
      <c r="A131" s="1130"/>
      <c r="B131" s="1138" t="s">
        <v>1443</v>
      </c>
      <c r="C131" s="1139" t="s">
        <v>1435</v>
      </c>
      <c r="D131" s="1140" t="s">
        <v>1413</v>
      </c>
      <c r="E131" s="1134">
        <f t="shared" si="11"/>
        <v>923</v>
      </c>
      <c r="F131" s="1141">
        <v>349.3</v>
      </c>
      <c r="G131" s="1141"/>
      <c r="H131" s="1141"/>
      <c r="I131" s="1141"/>
      <c r="J131" s="1141"/>
      <c r="K131" s="1135">
        <f t="shared" si="12"/>
        <v>36</v>
      </c>
      <c r="L131" s="1141"/>
      <c r="M131" s="1141"/>
      <c r="N131" s="1141"/>
      <c r="O131" s="1141"/>
      <c r="P131" s="1141"/>
      <c r="Q131" s="1141"/>
      <c r="R131" s="1141"/>
      <c r="S131" s="1141"/>
      <c r="T131" s="1141"/>
      <c r="U131" s="1135">
        <f t="shared" si="13"/>
        <v>798.75</v>
      </c>
      <c r="V131" s="1141"/>
      <c r="W131" s="1141"/>
      <c r="X131" s="1141"/>
      <c r="Y131" s="1141"/>
      <c r="Z131" s="1141"/>
      <c r="AA131" s="1141"/>
      <c r="AB131" s="1141"/>
      <c r="AC131" s="1141"/>
      <c r="AD131" s="1141"/>
      <c r="AE131" s="1135">
        <f t="shared" si="14"/>
        <v>55.5</v>
      </c>
      <c r="AF131" s="1141"/>
      <c r="AG131" s="1135">
        <f t="shared" si="15"/>
        <v>26.8</v>
      </c>
      <c r="AH131" s="1141"/>
      <c r="AI131" s="1141"/>
      <c r="AJ131" s="1142"/>
      <c r="AK131" s="1137">
        <f t="shared" si="10"/>
        <v>5.9500000000000455</v>
      </c>
      <c r="AL131" s="1137">
        <f t="shared" si="10"/>
        <v>349.3</v>
      </c>
    </row>
    <row r="132" spans="1:38" ht="27.6" outlineLevel="2" x14ac:dyDescent="0.3">
      <c r="A132" s="1130"/>
      <c r="B132" s="1138" t="s">
        <v>1444</v>
      </c>
      <c r="C132" s="1139" t="s">
        <v>1445</v>
      </c>
      <c r="D132" s="1140" t="s">
        <v>1416</v>
      </c>
      <c r="E132" s="1134">
        <f t="shared" si="11"/>
        <v>923</v>
      </c>
      <c r="F132" s="1141">
        <v>349.3</v>
      </c>
      <c r="G132" s="1141"/>
      <c r="H132" s="1141"/>
      <c r="I132" s="1141"/>
      <c r="J132" s="1141"/>
      <c r="K132" s="1135">
        <f t="shared" si="12"/>
        <v>36</v>
      </c>
      <c r="L132" s="1141"/>
      <c r="M132" s="1141"/>
      <c r="N132" s="1141"/>
      <c r="O132" s="1141"/>
      <c r="P132" s="1141"/>
      <c r="Q132" s="1141"/>
      <c r="R132" s="1141"/>
      <c r="S132" s="1141"/>
      <c r="T132" s="1141"/>
      <c r="U132" s="1135">
        <f t="shared" si="13"/>
        <v>798.75</v>
      </c>
      <c r="V132" s="1141"/>
      <c r="W132" s="1141"/>
      <c r="X132" s="1141"/>
      <c r="Y132" s="1141"/>
      <c r="Z132" s="1141"/>
      <c r="AA132" s="1141"/>
      <c r="AB132" s="1141"/>
      <c r="AC132" s="1141"/>
      <c r="AD132" s="1141"/>
      <c r="AE132" s="1135">
        <f t="shared" si="14"/>
        <v>55.5</v>
      </c>
      <c r="AF132" s="1141"/>
      <c r="AG132" s="1135">
        <f t="shared" si="15"/>
        <v>26.8</v>
      </c>
      <c r="AH132" s="1141"/>
      <c r="AI132" s="1141"/>
      <c r="AJ132" s="1142"/>
      <c r="AK132" s="1137">
        <f t="shared" si="10"/>
        <v>5.9500000000000455</v>
      </c>
      <c r="AL132" s="1137">
        <f t="shared" si="10"/>
        <v>349.3</v>
      </c>
    </row>
    <row r="133" spans="1:38" ht="27.6" outlineLevel="2" x14ac:dyDescent="0.3">
      <c r="A133" s="1130"/>
      <c r="B133" s="1138" t="s">
        <v>1446</v>
      </c>
      <c r="C133" s="1139" t="s">
        <v>1447</v>
      </c>
      <c r="D133" s="1140" t="s">
        <v>1431</v>
      </c>
      <c r="E133" s="1134">
        <f t="shared" si="11"/>
        <v>923</v>
      </c>
      <c r="F133" s="1141">
        <v>698.6</v>
      </c>
      <c r="G133" s="1141"/>
      <c r="H133" s="1141"/>
      <c r="I133" s="1141"/>
      <c r="J133" s="1141"/>
      <c r="K133" s="1135">
        <f t="shared" si="12"/>
        <v>36</v>
      </c>
      <c r="L133" s="1141"/>
      <c r="M133" s="1141"/>
      <c r="N133" s="1141"/>
      <c r="O133" s="1141"/>
      <c r="P133" s="1141"/>
      <c r="Q133" s="1141"/>
      <c r="R133" s="1141"/>
      <c r="S133" s="1141"/>
      <c r="T133" s="1141"/>
      <c r="U133" s="1135">
        <f t="shared" si="13"/>
        <v>798.75</v>
      </c>
      <c r="V133" s="1141"/>
      <c r="W133" s="1141"/>
      <c r="X133" s="1141"/>
      <c r="Y133" s="1141"/>
      <c r="Z133" s="1141"/>
      <c r="AA133" s="1141"/>
      <c r="AB133" s="1141"/>
      <c r="AC133" s="1141"/>
      <c r="AD133" s="1141"/>
      <c r="AE133" s="1135">
        <f t="shared" si="14"/>
        <v>55.5</v>
      </c>
      <c r="AF133" s="1141"/>
      <c r="AG133" s="1135">
        <f t="shared" si="15"/>
        <v>26.8</v>
      </c>
      <c r="AH133" s="1141"/>
      <c r="AI133" s="1141"/>
      <c r="AJ133" s="1142"/>
      <c r="AK133" s="1137">
        <f t="shared" si="10"/>
        <v>5.9500000000000455</v>
      </c>
      <c r="AL133" s="1137">
        <f t="shared" si="10"/>
        <v>698.6</v>
      </c>
    </row>
    <row r="134" spans="1:38" outlineLevel="2" x14ac:dyDescent="0.3">
      <c r="A134" s="1130"/>
      <c r="B134" s="1138" t="s">
        <v>1448</v>
      </c>
      <c r="C134" s="1139" t="s">
        <v>1449</v>
      </c>
      <c r="D134" s="1140" t="s">
        <v>1440</v>
      </c>
      <c r="E134" s="1134">
        <f t="shared" si="11"/>
        <v>923</v>
      </c>
      <c r="F134" s="1141">
        <v>449.09999999999997</v>
      </c>
      <c r="G134" s="1141"/>
      <c r="H134" s="1141"/>
      <c r="I134" s="1141"/>
      <c r="J134" s="1141"/>
      <c r="K134" s="1135">
        <f t="shared" si="12"/>
        <v>36</v>
      </c>
      <c r="L134" s="1141"/>
      <c r="M134" s="1141"/>
      <c r="N134" s="1141"/>
      <c r="O134" s="1141"/>
      <c r="P134" s="1141"/>
      <c r="Q134" s="1141"/>
      <c r="R134" s="1141"/>
      <c r="S134" s="1141"/>
      <c r="T134" s="1141"/>
      <c r="U134" s="1135">
        <f t="shared" si="13"/>
        <v>798.75</v>
      </c>
      <c r="V134" s="1141"/>
      <c r="W134" s="1141"/>
      <c r="X134" s="1141"/>
      <c r="Y134" s="1141"/>
      <c r="Z134" s="1141"/>
      <c r="AA134" s="1141"/>
      <c r="AB134" s="1141"/>
      <c r="AC134" s="1141"/>
      <c r="AD134" s="1141"/>
      <c r="AE134" s="1135">
        <f t="shared" si="14"/>
        <v>55.5</v>
      </c>
      <c r="AF134" s="1141"/>
      <c r="AG134" s="1135">
        <f t="shared" si="15"/>
        <v>26.8</v>
      </c>
      <c r="AH134" s="1141"/>
      <c r="AI134" s="1141"/>
      <c r="AJ134" s="1142"/>
      <c r="AK134" s="1137">
        <f t="shared" si="10"/>
        <v>5.9500000000000455</v>
      </c>
      <c r="AL134" s="1137">
        <f t="shared" si="10"/>
        <v>449.09999999999997</v>
      </c>
    </row>
    <row r="135" spans="1:38" ht="27.6" outlineLevel="2" x14ac:dyDescent="0.3">
      <c r="A135" s="1130"/>
      <c r="B135" s="1138" t="s">
        <v>1450</v>
      </c>
      <c r="C135" s="1139" t="s">
        <v>1451</v>
      </c>
      <c r="D135" s="1140" t="s">
        <v>1442</v>
      </c>
      <c r="E135" s="1134">
        <f t="shared" si="11"/>
        <v>923</v>
      </c>
      <c r="F135" s="1141">
        <v>0</v>
      </c>
      <c r="G135" s="1141"/>
      <c r="H135" s="1141"/>
      <c r="I135" s="1141"/>
      <c r="J135" s="1141"/>
      <c r="K135" s="1135">
        <f t="shared" si="12"/>
        <v>36</v>
      </c>
      <c r="L135" s="1141"/>
      <c r="M135" s="1141"/>
      <c r="N135" s="1141"/>
      <c r="O135" s="1141"/>
      <c r="P135" s="1141"/>
      <c r="Q135" s="1141"/>
      <c r="R135" s="1141"/>
      <c r="S135" s="1141"/>
      <c r="T135" s="1141"/>
      <c r="U135" s="1135">
        <f t="shared" si="13"/>
        <v>798.75</v>
      </c>
      <c r="V135" s="1141"/>
      <c r="W135" s="1141"/>
      <c r="X135" s="1141"/>
      <c r="Y135" s="1141"/>
      <c r="Z135" s="1141"/>
      <c r="AA135" s="1141"/>
      <c r="AB135" s="1141"/>
      <c r="AC135" s="1141"/>
      <c r="AD135" s="1141"/>
      <c r="AE135" s="1135">
        <f t="shared" si="14"/>
        <v>55.5</v>
      </c>
      <c r="AF135" s="1141"/>
      <c r="AG135" s="1135">
        <f t="shared" si="15"/>
        <v>26.8</v>
      </c>
      <c r="AH135" s="1141"/>
      <c r="AI135" s="1141"/>
      <c r="AJ135" s="1142"/>
      <c r="AK135" s="1137">
        <f t="shared" si="10"/>
        <v>5.9500000000000455</v>
      </c>
      <c r="AL135" s="1137">
        <f t="shared" si="10"/>
        <v>0</v>
      </c>
    </row>
    <row r="136" spans="1:38" ht="27.6" outlineLevel="2" x14ac:dyDescent="0.3">
      <c r="A136" s="1130"/>
      <c r="B136" s="1138" t="s">
        <v>1452</v>
      </c>
      <c r="C136" s="1139" t="s">
        <v>1453</v>
      </c>
      <c r="D136" s="1140" t="s">
        <v>1413</v>
      </c>
      <c r="E136" s="1134">
        <f t="shared" si="11"/>
        <v>923</v>
      </c>
      <c r="F136" s="1141">
        <v>199.6</v>
      </c>
      <c r="G136" s="1141"/>
      <c r="H136" s="1141"/>
      <c r="I136" s="1141"/>
      <c r="J136" s="1141"/>
      <c r="K136" s="1135">
        <f t="shared" si="12"/>
        <v>36</v>
      </c>
      <c r="L136" s="1141"/>
      <c r="M136" s="1141"/>
      <c r="N136" s="1141"/>
      <c r="O136" s="1141"/>
      <c r="P136" s="1141"/>
      <c r="Q136" s="1141"/>
      <c r="R136" s="1141"/>
      <c r="S136" s="1141"/>
      <c r="T136" s="1141"/>
      <c r="U136" s="1135">
        <f t="shared" si="13"/>
        <v>798.75</v>
      </c>
      <c r="V136" s="1141"/>
      <c r="W136" s="1141"/>
      <c r="X136" s="1141"/>
      <c r="Y136" s="1141"/>
      <c r="Z136" s="1141"/>
      <c r="AA136" s="1141"/>
      <c r="AB136" s="1141"/>
      <c r="AC136" s="1141"/>
      <c r="AD136" s="1141"/>
      <c r="AE136" s="1135">
        <f t="shared" si="14"/>
        <v>55.5</v>
      </c>
      <c r="AF136" s="1141"/>
      <c r="AG136" s="1135">
        <f t="shared" si="15"/>
        <v>26.8</v>
      </c>
      <c r="AH136" s="1141"/>
      <c r="AI136" s="1141"/>
      <c r="AJ136" s="1142"/>
      <c r="AK136" s="1137">
        <f t="shared" si="10"/>
        <v>5.9500000000000455</v>
      </c>
      <c r="AL136" s="1137">
        <f t="shared" si="10"/>
        <v>199.6</v>
      </c>
    </row>
    <row r="137" spans="1:38" outlineLevel="2" x14ac:dyDescent="0.3">
      <c r="A137" s="1130"/>
      <c r="B137" s="1138" t="s">
        <v>1454</v>
      </c>
      <c r="C137" s="1139" t="s">
        <v>1453</v>
      </c>
      <c r="D137" s="1140" t="s">
        <v>1455</v>
      </c>
      <c r="E137" s="1134">
        <f t="shared" si="11"/>
        <v>923</v>
      </c>
      <c r="F137" s="1141">
        <v>399.2</v>
      </c>
      <c r="G137" s="1141"/>
      <c r="H137" s="1141"/>
      <c r="I137" s="1141"/>
      <c r="J137" s="1141"/>
      <c r="K137" s="1135">
        <f t="shared" si="12"/>
        <v>36</v>
      </c>
      <c r="L137" s="1141"/>
      <c r="M137" s="1141"/>
      <c r="N137" s="1141"/>
      <c r="O137" s="1141"/>
      <c r="P137" s="1141"/>
      <c r="Q137" s="1141"/>
      <c r="R137" s="1141"/>
      <c r="S137" s="1141"/>
      <c r="T137" s="1141"/>
      <c r="U137" s="1135">
        <f t="shared" si="13"/>
        <v>798.75</v>
      </c>
      <c r="V137" s="1141"/>
      <c r="W137" s="1141"/>
      <c r="X137" s="1141"/>
      <c r="Y137" s="1141"/>
      <c r="Z137" s="1141"/>
      <c r="AA137" s="1141"/>
      <c r="AB137" s="1141"/>
      <c r="AC137" s="1141"/>
      <c r="AD137" s="1141"/>
      <c r="AE137" s="1135">
        <f t="shared" si="14"/>
        <v>55.5</v>
      </c>
      <c r="AF137" s="1141"/>
      <c r="AG137" s="1135">
        <f t="shared" si="15"/>
        <v>26.8</v>
      </c>
      <c r="AH137" s="1141"/>
      <c r="AI137" s="1141"/>
      <c r="AJ137" s="1142"/>
      <c r="AK137" s="1137">
        <f t="shared" si="10"/>
        <v>5.9500000000000455</v>
      </c>
      <c r="AL137" s="1137">
        <f t="shared" si="10"/>
        <v>399.2</v>
      </c>
    </row>
    <row r="138" spans="1:38" outlineLevel="2" x14ac:dyDescent="0.3">
      <c r="A138" s="1130"/>
      <c r="B138" s="1138" t="s">
        <v>1456</v>
      </c>
      <c r="C138" s="1139" t="s">
        <v>1457</v>
      </c>
      <c r="D138" s="1140" t="s">
        <v>1436</v>
      </c>
      <c r="E138" s="1134">
        <f t="shared" si="11"/>
        <v>923</v>
      </c>
      <c r="F138" s="1141">
        <v>698.6</v>
      </c>
      <c r="G138" s="1141"/>
      <c r="H138" s="1141"/>
      <c r="I138" s="1141"/>
      <c r="J138" s="1141"/>
      <c r="K138" s="1135">
        <f t="shared" si="12"/>
        <v>36</v>
      </c>
      <c r="L138" s="1141"/>
      <c r="M138" s="1141"/>
      <c r="N138" s="1141"/>
      <c r="O138" s="1141"/>
      <c r="P138" s="1141"/>
      <c r="Q138" s="1141"/>
      <c r="R138" s="1141"/>
      <c r="S138" s="1141"/>
      <c r="T138" s="1141"/>
      <c r="U138" s="1135">
        <f t="shared" si="13"/>
        <v>798.75</v>
      </c>
      <c r="V138" s="1141"/>
      <c r="W138" s="1141"/>
      <c r="X138" s="1141"/>
      <c r="Y138" s="1141"/>
      <c r="Z138" s="1141"/>
      <c r="AA138" s="1141"/>
      <c r="AB138" s="1141"/>
      <c r="AC138" s="1141"/>
      <c r="AD138" s="1141"/>
      <c r="AE138" s="1135">
        <f t="shared" si="14"/>
        <v>55.5</v>
      </c>
      <c r="AF138" s="1141"/>
      <c r="AG138" s="1135">
        <f t="shared" si="15"/>
        <v>26.8</v>
      </c>
      <c r="AH138" s="1141"/>
      <c r="AI138" s="1141"/>
      <c r="AJ138" s="1142"/>
      <c r="AK138" s="1137">
        <f t="shared" si="10"/>
        <v>5.9500000000000455</v>
      </c>
      <c r="AL138" s="1137">
        <f t="shared" si="10"/>
        <v>698.6</v>
      </c>
    </row>
    <row r="139" spans="1:38" ht="27.6" outlineLevel="2" x14ac:dyDescent="0.3">
      <c r="A139" s="1130"/>
      <c r="B139" s="1138" t="s">
        <v>1458</v>
      </c>
      <c r="C139" s="1139" t="s">
        <v>1457</v>
      </c>
      <c r="D139" s="1140" t="s">
        <v>1442</v>
      </c>
      <c r="E139" s="1134">
        <f t="shared" si="11"/>
        <v>923</v>
      </c>
      <c r="F139" s="1141">
        <v>99.8</v>
      </c>
      <c r="G139" s="1141"/>
      <c r="H139" s="1141"/>
      <c r="I139" s="1141"/>
      <c r="J139" s="1141"/>
      <c r="K139" s="1135">
        <f t="shared" si="12"/>
        <v>36</v>
      </c>
      <c r="L139" s="1141"/>
      <c r="M139" s="1141"/>
      <c r="N139" s="1141"/>
      <c r="O139" s="1141"/>
      <c r="P139" s="1141"/>
      <c r="Q139" s="1141"/>
      <c r="R139" s="1141"/>
      <c r="S139" s="1141"/>
      <c r="T139" s="1141"/>
      <c r="U139" s="1135">
        <f t="shared" si="13"/>
        <v>798.75</v>
      </c>
      <c r="V139" s="1141"/>
      <c r="W139" s="1141"/>
      <c r="X139" s="1141"/>
      <c r="Y139" s="1141"/>
      <c r="Z139" s="1141"/>
      <c r="AA139" s="1141"/>
      <c r="AB139" s="1141"/>
      <c r="AC139" s="1141"/>
      <c r="AD139" s="1141"/>
      <c r="AE139" s="1135">
        <f t="shared" si="14"/>
        <v>55.5</v>
      </c>
      <c r="AF139" s="1141"/>
      <c r="AG139" s="1135">
        <f t="shared" si="15"/>
        <v>26.8</v>
      </c>
      <c r="AH139" s="1141"/>
      <c r="AI139" s="1141"/>
      <c r="AJ139" s="1142"/>
      <c r="AK139" s="1137">
        <f t="shared" si="10"/>
        <v>5.9500000000000455</v>
      </c>
      <c r="AL139" s="1137">
        <f t="shared" si="10"/>
        <v>99.8</v>
      </c>
    </row>
    <row r="140" spans="1:38" outlineLevel="2" x14ac:dyDescent="0.3">
      <c r="A140" s="1130"/>
      <c r="B140" s="1138" t="s">
        <v>1459</v>
      </c>
      <c r="C140" s="1139" t="s">
        <v>1457</v>
      </c>
      <c r="D140" s="1140" t="s">
        <v>1413</v>
      </c>
      <c r="E140" s="1134">
        <f t="shared" si="11"/>
        <v>923</v>
      </c>
      <c r="F140" s="1141">
        <v>99.8</v>
      </c>
      <c r="G140" s="1141"/>
      <c r="H140" s="1141"/>
      <c r="I140" s="1141"/>
      <c r="J140" s="1141"/>
      <c r="K140" s="1135">
        <f t="shared" si="12"/>
        <v>36</v>
      </c>
      <c r="L140" s="1141"/>
      <c r="M140" s="1141"/>
      <c r="N140" s="1141"/>
      <c r="O140" s="1141"/>
      <c r="P140" s="1141"/>
      <c r="Q140" s="1141"/>
      <c r="R140" s="1141"/>
      <c r="S140" s="1141"/>
      <c r="T140" s="1141"/>
      <c r="U140" s="1135">
        <f t="shared" si="13"/>
        <v>798.75</v>
      </c>
      <c r="V140" s="1141"/>
      <c r="W140" s="1141"/>
      <c r="X140" s="1141"/>
      <c r="Y140" s="1141"/>
      <c r="Z140" s="1141"/>
      <c r="AA140" s="1141"/>
      <c r="AB140" s="1141"/>
      <c r="AC140" s="1141"/>
      <c r="AD140" s="1141"/>
      <c r="AE140" s="1135">
        <f t="shared" si="14"/>
        <v>55.5</v>
      </c>
      <c r="AF140" s="1141"/>
      <c r="AG140" s="1135">
        <f t="shared" si="15"/>
        <v>26.8</v>
      </c>
      <c r="AH140" s="1141"/>
      <c r="AI140" s="1141"/>
      <c r="AJ140" s="1142"/>
      <c r="AK140" s="1137">
        <f t="shared" si="10"/>
        <v>5.9500000000000455</v>
      </c>
      <c r="AL140" s="1137">
        <f t="shared" si="10"/>
        <v>99.8</v>
      </c>
    </row>
    <row r="141" spans="1:38" outlineLevel="2" x14ac:dyDescent="0.3">
      <c r="A141" s="1130"/>
      <c r="B141" s="1138"/>
      <c r="C141" s="1139"/>
      <c r="D141" s="1140"/>
      <c r="E141" s="1134">
        <f t="shared" si="11"/>
        <v>923</v>
      </c>
      <c r="F141" s="1141"/>
      <c r="G141" s="1141"/>
      <c r="H141" s="1141"/>
      <c r="I141" s="1141"/>
      <c r="J141" s="1141"/>
      <c r="K141" s="1135">
        <f t="shared" si="12"/>
        <v>36</v>
      </c>
      <c r="L141" s="1141"/>
      <c r="M141" s="1141"/>
      <c r="N141" s="1141"/>
      <c r="O141" s="1141"/>
      <c r="P141" s="1141"/>
      <c r="Q141" s="1141"/>
      <c r="R141" s="1141"/>
      <c r="S141" s="1141"/>
      <c r="T141" s="1141"/>
      <c r="U141" s="1135">
        <f t="shared" si="13"/>
        <v>798.75</v>
      </c>
      <c r="V141" s="1141"/>
      <c r="W141" s="1141"/>
      <c r="X141" s="1141"/>
      <c r="Y141" s="1141"/>
      <c r="Z141" s="1141"/>
      <c r="AA141" s="1141"/>
      <c r="AB141" s="1141"/>
      <c r="AC141" s="1141"/>
      <c r="AD141" s="1141"/>
      <c r="AE141" s="1135">
        <f t="shared" si="14"/>
        <v>55.5</v>
      </c>
      <c r="AF141" s="1141"/>
      <c r="AG141" s="1135">
        <f t="shared" si="15"/>
        <v>26.8</v>
      </c>
      <c r="AH141" s="1141"/>
      <c r="AI141" s="1141"/>
      <c r="AJ141" s="1142"/>
      <c r="AK141" s="1137">
        <f t="shared" si="10"/>
        <v>5.9500000000000455</v>
      </c>
      <c r="AL141" s="1137">
        <f t="shared" si="10"/>
        <v>0</v>
      </c>
    </row>
    <row r="142" spans="1:38" outlineLevel="2" x14ac:dyDescent="0.3">
      <c r="A142" s="1130"/>
      <c r="B142" s="1138"/>
      <c r="C142" s="1139"/>
      <c r="D142" s="1140"/>
      <c r="E142" s="1134">
        <f t="shared" si="11"/>
        <v>923</v>
      </c>
      <c r="F142" s="1141"/>
      <c r="G142" s="1141"/>
      <c r="H142" s="1141"/>
      <c r="I142" s="1141"/>
      <c r="J142" s="1141"/>
      <c r="K142" s="1135">
        <f t="shared" si="12"/>
        <v>36</v>
      </c>
      <c r="L142" s="1141"/>
      <c r="M142" s="1141"/>
      <c r="N142" s="1141"/>
      <c r="O142" s="1141"/>
      <c r="P142" s="1141"/>
      <c r="Q142" s="1141"/>
      <c r="R142" s="1141"/>
      <c r="S142" s="1141"/>
      <c r="T142" s="1141"/>
      <c r="U142" s="1135">
        <f t="shared" si="13"/>
        <v>798.75</v>
      </c>
      <c r="V142" s="1141"/>
      <c r="W142" s="1141"/>
      <c r="X142" s="1141"/>
      <c r="Y142" s="1141"/>
      <c r="Z142" s="1141"/>
      <c r="AA142" s="1141"/>
      <c r="AB142" s="1141"/>
      <c r="AC142" s="1141"/>
      <c r="AD142" s="1141"/>
      <c r="AE142" s="1135">
        <f t="shared" si="14"/>
        <v>55.5</v>
      </c>
      <c r="AF142" s="1141"/>
      <c r="AG142" s="1135">
        <f t="shared" si="15"/>
        <v>26.8</v>
      </c>
      <c r="AH142" s="1141"/>
      <c r="AI142" s="1141"/>
      <c r="AJ142" s="1142"/>
      <c r="AK142" s="1137">
        <f t="shared" si="10"/>
        <v>5.9500000000000455</v>
      </c>
      <c r="AL142" s="1137">
        <f t="shared" si="10"/>
        <v>0</v>
      </c>
    </row>
    <row r="143" spans="1:38" outlineLevel="2" x14ac:dyDescent="0.3">
      <c r="A143" s="1130"/>
      <c r="B143" s="1138"/>
      <c r="C143" s="1139"/>
      <c r="D143" s="1140"/>
      <c r="E143" s="1134">
        <f t="shared" si="11"/>
        <v>923</v>
      </c>
      <c r="F143" s="1141"/>
      <c r="G143" s="1141"/>
      <c r="H143" s="1141"/>
      <c r="I143" s="1141"/>
      <c r="J143" s="1141"/>
      <c r="K143" s="1135">
        <f t="shared" si="12"/>
        <v>36</v>
      </c>
      <c r="L143" s="1141"/>
      <c r="M143" s="1141"/>
      <c r="N143" s="1141"/>
      <c r="O143" s="1141"/>
      <c r="P143" s="1141"/>
      <c r="Q143" s="1141"/>
      <c r="R143" s="1141"/>
      <c r="S143" s="1141"/>
      <c r="T143" s="1141"/>
      <c r="U143" s="1135">
        <f t="shared" si="13"/>
        <v>798.75</v>
      </c>
      <c r="V143" s="1141"/>
      <c r="W143" s="1141"/>
      <c r="X143" s="1141"/>
      <c r="Y143" s="1141"/>
      <c r="Z143" s="1141"/>
      <c r="AA143" s="1141"/>
      <c r="AB143" s="1141"/>
      <c r="AC143" s="1141"/>
      <c r="AD143" s="1141"/>
      <c r="AE143" s="1135">
        <f t="shared" si="14"/>
        <v>55.5</v>
      </c>
      <c r="AF143" s="1141"/>
      <c r="AG143" s="1135">
        <f t="shared" si="15"/>
        <v>26.8</v>
      </c>
      <c r="AH143" s="1141"/>
      <c r="AI143" s="1141"/>
      <c r="AJ143" s="1142"/>
      <c r="AK143" s="1137">
        <f t="shared" si="10"/>
        <v>5.9500000000000455</v>
      </c>
      <c r="AL143" s="1137">
        <f t="shared" si="10"/>
        <v>0</v>
      </c>
    </row>
    <row r="144" spans="1:38" outlineLevel="2" x14ac:dyDescent="0.3">
      <c r="A144" s="1130"/>
      <c r="B144" s="1138"/>
      <c r="C144" s="1139"/>
      <c r="D144" s="1140"/>
      <c r="E144" s="1134">
        <f t="shared" si="11"/>
        <v>923</v>
      </c>
      <c r="F144" s="1141"/>
      <c r="G144" s="1141"/>
      <c r="H144" s="1141"/>
      <c r="I144" s="1141"/>
      <c r="J144" s="1141"/>
      <c r="K144" s="1135">
        <f t="shared" si="12"/>
        <v>36</v>
      </c>
      <c r="L144" s="1141"/>
      <c r="M144" s="1141"/>
      <c r="N144" s="1141"/>
      <c r="O144" s="1141"/>
      <c r="P144" s="1141"/>
      <c r="Q144" s="1141"/>
      <c r="R144" s="1141"/>
      <c r="S144" s="1141"/>
      <c r="T144" s="1141"/>
      <c r="U144" s="1135">
        <f t="shared" si="13"/>
        <v>798.75</v>
      </c>
      <c r="V144" s="1141"/>
      <c r="W144" s="1141"/>
      <c r="X144" s="1141"/>
      <c r="Y144" s="1141"/>
      <c r="Z144" s="1141"/>
      <c r="AA144" s="1141"/>
      <c r="AB144" s="1141"/>
      <c r="AC144" s="1141"/>
      <c r="AD144" s="1141"/>
      <c r="AE144" s="1135">
        <f t="shared" si="14"/>
        <v>55.5</v>
      </c>
      <c r="AF144" s="1141"/>
      <c r="AG144" s="1135">
        <f t="shared" si="15"/>
        <v>26.8</v>
      </c>
      <c r="AH144" s="1141"/>
      <c r="AI144" s="1141"/>
      <c r="AJ144" s="1142"/>
      <c r="AK144" s="1137">
        <f t="shared" si="10"/>
        <v>5.9500000000000455</v>
      </c>
      <c r="AL144" s="1137">
        <f t="shared" si="10"/>
        <v>0</v>
      </c>
    </row>
    <row r="145" spans="1:38" outlineLevel="2" x14ac:dyDescent="0.3">
      <c r="A145" s="1130"/>
      <c r="B145" s="1138"/>
      <c r="C145" s="1139"/>
      <c r="D145" s="1140"/>
      <c r="E145" s="1134">
        <f t="shared" si="11"/>
        <v>923</v>
      </c>
      <c r="F145" s="1141"/>
      <c r="G145" s="1141"/>
      <c r="H145" s="1141"/>
      <c r="I145" s="1141"/>
      <c r="J145" s="1141"/>
      <c r="K145" s="1135">
        <f t="shared" si="12"/>
        <v>36</v>
      </c>
      <c r="L145" s="1141"/>
      <c r="M145" s="1141"/>
      <c r="N145" s="1141"/>
      <c r="O145" s="1141"/>
      <c r="P145" s="1141"/>
      <c r="Q145" s="1141"/>
      <c r="R145" s="1141"/>
      <c r="S145" s="1141"/>
      <c r="T145" s="1141"/>
      <c r="U145" s="1135">
        <f t="shared" si="13"/>
        <v>798.75</v>
      </c>
      <c r="V145" s="1141"/>
      <c r="W145" s="1141"/>
      <c r="X145" s="1141"/>
      <c r="Y145" s="1141"/>
      <c r="Z145" s="1141"/>
      <c r="AA145" s="1141"/>
      <c r="AB145" s="1141"/>
      <c r="AC145" s="1141"/>
      <c r="AD145" s="1141"/>
      <c r="AE145" s="1135">
        <f t="shared" si="14"/>
        <v>55.5</v>
      </c>
      <c r="AF145" s="1141"/>
      <c r="AG145" s="1135">
        <f t="shared" si="15"/>
        <v>26.8</v>
      </c>
      <c r="AH145" s="1141"/>
      <c r="AI145" s="1141"/>
      <c r="AJ145" s="1142"/>
      <c r="AK145" s="1137">
        <f t="shared" si="10"/>
        <v>5.9500000000000455</v>
      </c>
      <c r="AL145" s="1137">
        <f t="shared" si="10"/>
        <v>0</v>
      </c>
    </row>
    <row r="146" spans="1:38" outlineLevel="2" x14ac:dyDescent="0.3">
      <c r="A146" s="1130"/>
      <c r="B146" s="1138"/>
      <c r="C146" s="1139"/>
      <c r="D146" s="1140"/>
      <c r="E146" s="1134">
        <f t="shared" si="11"/>
        <v>923</v>
      </c>
      <c r="F146" s="1141"/>
      <c r="G146" s="1141"/>
      <c r="H146" s="1141"/>
      <c r="I146" s="1141"/>
      <c r="J146" s="1141"/>
      <c r="K146" s="1135">
        <f t="shared" si="12"/>
        <v>36</v>
      </c>
      <c r="L146" s="1141"/>
      <c r="M146" s="1141"/>
      <c r="N146" s="1141"/>
      <c r="O146" s="1141"/>
      <c r="P146" s="1141"/>
      <c r="Q146" s="1141"/>
      <c r="R146" s="1141"/>
      <c r="S146" s="1141"/>
      <c r="T146" s="1141"/>
      <c r="U146" s="1135">
        <f t="shared" si="13"/>
        <v>798.75</v>
      </c>
      <c r="V146" s="1141"/>
      <c r="W146" s="1141"/>
      <c r="X146" s="1141"/>
      <c r="Y146" s="1141"/>
      <c r="Z146" s="1141"/>
      <c r="AA146" s="1141"/>
      <c r="AB146" s="1141"/>
      <c r="AC146" s="1141"/>
      <c r="AD146" s="1141"/>
      <c r="AE146" s="1135">
        <f t="shared" si="14"/>
        <v>55.5</v>
      </c>
      <c r="AF146" s="1141"/>
      <c r="AG146" s="1135">
        <f t="shared" si="15"/>
        <v>26.8</v>
      </c>
      <c r="AH146" s="1141"/>
      <c r="AI146" s="1141"/>
      <c r="AJ146" s="1142"/>
      <c r="AK146" s="1137">
        <f t="shared" si="10"/>
        <v>5.9500000000000455</v>
      </c>
      <c r="AL146" s="1137">
        <f t="shared" si="10"/>
        <v>0</v>
      </c>
    </row>
    <row r="147" spans="1:38" outlineLevel="2" x14ac:dyDescent="0.3">
      <c r="A147" s="1130"/>
      <c r="B147" s="1138"/>
      <c r="C147" s="1139"/>
      <c r="D147" s="1140"/>
      <c r="E147" s="1134">
        <f t="shared" si="11"/>
        <v>923</v>
      </c>
      <c r="F147" s="1141"/>
      <c r="G147" s="1141"/>
      <c r="H147" s="1141"/>
      <c r="I147" s="1141"/>
      <c r="J147" s="1141"/>
      <c r="K147" s="1135">
        <f t="shared" si="12"/>
        <v>36</v>
      </c>
      <c r="L147" s="1141"/>
      <c r="M147" s="1141"/>
      <c r="N147" s="1141"/>
      <c r="O147" s="1141"/>
      <c r="P147" s="1141"/>
      <c r="Q147" s="1141"/>
      <c r="R147" s="1141"/>
      <c r="S147" s="1141"/>
      <c r="T147" s="1141"/>
      <c r="U147" s="1135">
        <f t="shared" si="13"/>
        <v>798.75</v>
      </c>
      <c r="V147" s="1141"/>
      <c r="W147" s="1141"/>
      <c r="X147" s="1141"/>
      <c r="Y147" s="1141"/>
      <c r="Z147" s="1141"/>
      <c r="AA147" s="1141"/>
      <c r="AB147" s="1141"/>
      <c r="AC147" s="1141"/>
      <c r="AD147" s="1141"/>
      <c r="AE147" s="1135">
        <f t="shared" si="14"/>
        <v>55.5</v>
      </c>
      <c r="AF147" s="1141"/>
      <c r="AG147" s="1135">
        <f t="shared" si="15"/>
        <v>26.8</v>
      </c>
      <c r="AH147" s="1141"/>
      <c r="AI147" s="1141"/>
      <c r="AJ147" s="1142"/>
      <c r="AK147" s="1137">
        <f t="shared" si="10"/>
        <v>5.9500000000000455</v>
      </c>
      <c r="AL147" s="1137">
        <f t="shared" si="10"/>
        <v>0</v>
      </c>
    </row>
    <row r="148" spans="1:38" outlineLevel="2" x14ac:dyDescent="0.3">
      <c r="A148" s="1130"/>
      <c r="B148" s="1138"/>
      <c r="C148" s="1139"/>
      <c r="D148" s="1140"/>
      <c r="E148" s="1134">
        <f t="shared" si="11"/>
        <v>923</v>
      </c>
      <c r="F148" s="1141"/>
      <c r="G148" s="1141"/>
      <c r="H148" s="1141"/>
      <c r="I148" s="1141"/>
      <c r="J148" s="1141"/>
      <c r="K148" s="1135">
        <f t="shared" si="12"/>
        <v>36</v>
      </c>
      <c r="L148" s="1141"/>
      <c r="M148" s="1141"/>
      <c r="N148" s="1141"/>
      <c r="O148" s="1141"/>
      <c r="P148" s="1141"/>
      <c r="Q148" s="1141"/>
      <c r="R148" s="1141"/>
      <c r="S148" s="1141"/>
      <c r="T148" s="1141"/>
      <c r="U148" s="1135">
        <f t="shared" si="13"/>
        <v>798.75</v>
      </c>
      <c r="V148" s="1141"/>
      <c r="W148" s="1141"/>
      <c r="X148" s="1141"/>
      <c r="Y148" s="1141"/>
      <c r="Z148" s="1141"/>
      <c r="AA148" s="1141"/>
      <c r="AB148" s="1141"/>
      <c r="AC148" s="1141"/>
      <c r="AD148" s="1141"/>
      <c r="AE148" s="1135">
        <f t="shared" si="14"/>
        <v>55.5</v>
      </c>
      <c r="AF148" s="1141"/>
      <c r="AG148" s="1135">
        <f t="shared" si="15"/>
        <v>26.8</v>
      </c>
      <c r="AH148" s="1141"/>
      <c r="AI148" s="1141"/>
      <c r="AJ148" s="1142"/>
      <c r="AK148" s="1137">
        <f t="shared" si="10"/>
        <v>5.9500000000000455</v>
      </c>
      <c r="AL148" s="1137">
        <f t="shared" si="10"/>
        <v>0</v>
      </c>
    </row>
    <row r="149" spans="1:38" outlineLevel="2" x14ac:dyDescent="0.3">
      <c r="A149" s="1130"/>
      <c r="B149" s="1138"/>
      <c r="C149" s="1139"/>
      <c r="D149" s="1140"/>
      <c r="E149" s="1134">
        <f t="shared" si="11"/>
        <v>923</v>
      </c>
      <c r="F149" s="1141"/>
      <c r="G149" s="1141"/>
      <c r="H149" s="1141"/>
      <c r="I149" s="1141"/>
      <c r="J149" s="1141"/>
      <c r="K149" s="1135">
        <f t="shared" si="12"/>
        <v>36</v>
      </c>
      <c r="L149" s="1141"/>
      <c r="M149" s="1141"/>
      <c r="N149" s="1141"/>
      <c r="O149" s="1141"/>
      <c r="P149" s="1141"/>
      <c r="Q149" s="1141"/>
      <c r="R149" s="1141"/>
      <c r="S149" s="1141"/>
      <c r="T149" s="1141"/>
      <c r="U149" s="1135">
        <f t="shared" si="13"/>
        <v>798.75</v>
      </c>
      <c r="V149" s="1141"/>
      <c r="W149" s="1141"/>
      <c r="X149" s="1141"/>
      <c r="Y149" s="1141"/>
      <c r="Z149" s="1141"/>
      <c r="AA149" s="1141"/>
      <c r="AB149" s="1141"/>
      <c r="AC149" s="1141"/>
      <c r="AD149" s="1141"/>
      <c r="AE149" s="1135">
        <f t="shared" si="14"/>
        <v>55.5</v>
      </c>
      <c r="AF149" s="1141"/>
      <c r="AG149" s="1135">
        <f t="shared" si="15"/>
        <v>26.8</v>
      </c>
      <c r="AH149" s="1141"/>
      <c r="AI149" s="1141"/>
      <c r="AJ149" s="1142"/>
      <c r="AK149" s="1137">
        <f t="shared" ref="AK149:AL166" si="16">SUM(E149,G149,I149)-SUM(K149,M149,O149,Q149,S149,U149,W149,Y149,AA149,AC149,AE149,AG149,AI149)</f>
        <v>5.9500000000000455</v>
      </c>
      <c r="AL149" s="1137">
        <f t="shared" si="16"/>
        <v>0</v>
      </c>
    </row>
    <row r="150" spans="1:38" outlineLevel="2" x14ac:dyDescent="0.3">
      <c r="A150" s="1130"/>
      <c r="B150" s="1138"/>
      <c r="C150" s="1139"/>
      <c r="D150" s="1140"/>
      <c r="E150" s="1134">
        <f t="shared" si="11"/>
        <v>923</v>
      </c>
      <c r="F150" s="1141"/>
      <c r="G150" s="1141"/>
      <c r="H150" s="1141"/>
      <c r="I150" s="1141"/>
      <c r="J150" s="1141"/>
      <c r="K150" s="1135">
        <f t="shared" si="12"/>
        <v>36</v>
      </c>
      <c r="L150" s="1141"/>
      <c r="M150" s="1141"/>
      <c r="N150" s="1141"/>
      <c r="O150" s="1141"/>
      <c r="P150" s="1141"/>
      <c r="Q150" s="1141"/>
      <c r="R150" s="1141"/>
      <c r="S150" s="1141"/>
      <c r="T150" s="1141"/>
      <c r="U150" s="1135">
        <f t="shared" si="13"/>
        <v>798.75</v>
      </c>
      <c r="V150" s="1141"/>
      <c r="W150" s="1141"/>
      <c r="X150" s="1141"/>
      <c r="Y150" s="1141"/>
      <c r="Z150" s="1141"/>
      <c r="AA150" s="1141"/>
      <c r="AB150" s="1141"/>
      <c r="AC150" s="1141"/>
      <c r="AD150" s="1141"/>
      <c r="AE150" s="1135">
        <f t="shared" si="14"/>
        <v>55.5</v>
      </c>
      <c r="AF150" s="1141"/>
      <c r="AG150" s="1135">
        <f t="shared" si="15"/>
        <v>26.8</v>
      </c>
      <c r="AH150" s="1141"/>
      <c r="AI150" s="1141"/>
      <c r="AJ150" s="1142"/>
      <c r="AK150" s="1137">
        <f t="shared" si="16"/>
        <v>5.9500000000000455</v>
      </c>
      <c r="AL150" s="1137">
        <f t="shared" si="16"/>
        <v>0</v>
      </c>
    </row>
    <row r="151" spans="1:38" outlineLevel="2" x14ac:dyDescent="0.3">
      <c r="A151" s="1130"/>
      <c r="B151" s="1138"/>
      <c r="C151" s="1139"/>
      <c r="D151" s="1140"/>
      <c r="E151" s="1134">
        <f t="shared" si="11"/>
        <v>923</v>
      </c>
      <c r="F151" s="1141"/>
      <c r="G151" s="1141"/>
      <c r="H151" s="1141"/>
      <c r="I151" s="1141"/>
      <c r="J151" s="1141"/>
      <c r="K151" s="1135">
        <f t="shared" si="12"/>
        <v>36</v>
      </c>
      <c r="L151" s="1141"/>
      <c r="M151" s="1141"/>
      <c r="N151" s="1141"/>
      <c r="O151" s="1141"/>
      <c r="P151" s="1141"/>
      <c r="Q151" s="1141"/>
      <c r="R151" s="1141"/>
      <c r="S151" s="1141"/>
      <c r="T151" s="1141"/>
      <c r="U151" s="1135">
        <f t="shared" si="13"/>
        <v>798.75</v>
      </c>
      <c r="V151" s="1141"/>
      <c r="W151" s="1141"/>
      <c r="X151" s="1141"/>
      <c r="Y151" s="1141"/>
      <c r="Z151" s="1141"/>
      <c r="AA151" s="1141"/>
      <c r="AB151" s="1141"/>
      <c r="AC151" s="1141"/>
      <c r="AD151" s="1141"/>
      <c r="AE151" s="1135">
        <f t="shared" si="14"/>
        <v>55.5</v>
      </c>
      <c r="AF151" s="1141"/>
      <c r="AG151" s="1135">
        <f t="shared" si="15"/>
        <v>26.8</v>
      </c>
      <c r="AH151" s="1141"/>
      <c r="AI151" s="1141"/>
      <c r="AJ151" s="1142"/>
      <c r="AK151" s="1137">
        <f t="shared" si="16"/>
        <v>5.9500000000000455</v>
      </c>
      <c r="AL151" s="1137">
        <f t="shared" si="16"/>
        <v>0</v>
      </c>
    </row>
    <row r="152" spans="1:38" outlineLevel="2" x14ac:dyDescent="0.3">
      <c r="A152" s="1130"/>
      <c r="B152" s="1138"/>
      <c r="C152" s="1139"/>
      <c r="D152" s="1140"/>
      <c r="E152" s="1134">
        <f t="shared" si="11"/>
        <v>923</v>
      </c>
      <c r="F152" s="1141"/>
      <c r="G152" s="1141"/>
      <c r="H152" s="1141"/>
      <c r="I152" s="1141"/>
      <c r="J152" s="1141"/>
      <c r="K152" s="1135">
        <f t="shared" si="12"/>
        <v>36</v>
      </c>
      <c r="L152" s="1141"/>
      <c r="M152" s="1141"/>
      <c r="N152" s="1141"/>
      <c r="O152" s="1141"/>
      <c r="P152" s="1141"/>
      <c r="Q152" s="1141"/>
      <c r="R152" s="1141"/>
      <c r="S152" s="1141"/>
      <c r="T152" s="1141"/>
      <c r="U152" s="1135">
        <f t="shared" si="13"/>
        <v>798.75</v>
      </c>
      <c r="V152" s="1141"/>
      <c r="W152" s="1141"/>
      <c r="X152" s="1141"/>
      <c r="Y152" s="1141"/>
      <c r="Z152" s="1141"/>
      <c r="AA152" s="1141"/>
      <c r="AB152" s="1141"/>
      <c r="AC152" s="1141"/>
      <c r="AD152" s="1141"/>
      <c r="AE152" s="1135">
        <f t="shared" si="14"/>
        <v>55.5</v>
      </c>
      <c r="AF152" s="1141"/>
      <c r="AG152" s="1135">
        <f t="shared" si="15"/>
        <v>26.8</v>
      </c>
      <c r="AH152" s="1141"/>
      <c r="AI152" s="1141"/>
      <c r="AJ152" s="1142"/>
      <c r="AK152" s="1137">
        <f t="shared" si="16"/>
        <v>5.9500000000000455</v>
      </c>
      <c r="AL152" s="1137">
        <f t="shared" si="16"/>
        <v>0</v>
      </c>
    </row>
    <row r="153" spans="1:38" outlineLevel="2" x14ac:dyDescent="0.3">
      <c r="A153" s="1130"/>
      <c r="B153" s="1138"/>
      <c r="C153" s="1139"/>
      <c r="D153" s="1140"/>
      <c r="E153" s="1134">
        <f t="shared" si="11"/>
        <v>923</v>
      </c>
      <c r="F153" s="1141"/>
      <c r="G153" s="1141"/>
      <c r="H153" s="1141"/>
      <c r="I153" s="1141"/>
      <c r="J153" s="1141"/>
      <c r="K153" s="1135">
        <f t="shared" si="12"/>
        <v>36</v>
      </c>
      <c r="L153" s="1141"/>
      <c r="M153" s="1141"/>
      <c r="N153" s="1141"/>
      <c r="O153" s="1141"/>
      <c r="P153" s="1141"/>
      <c r="Q153" s="1141"/>
      <c r="R153" s="1141"/>
      <c r="S153" s="1141"/>
      <c r="T153" s="1141"/>
      <c r="U153" s="1135">
        <f t="shared" si="13"/>
        <v>798.75</v>
      </c>
      <c r="V153" s="1141"/>
      <c r="W153" s="1141"/>
      <c r="X153" s="1141"/>
      <c r="Y153" s="1141"/>
      <c r="Z153" s="1141"/>
      <c r="AA153" s="1141"/>
      <c r="AB153" s="1141"/>
      <c r="AC153" s="1141"/>
      <c r="AD153" s="1141"/>
      <c r="AE153" s="1135">
        <f t="shared" si="14"/>
        <v>55.5</v>
      </c>
      <c r="AF153" s="1141"/>
      <c r="AG153" s="1135">
        <f t="shared" si="15"/>
        <v>26.8</v>
      </c>
      <c r="AH153" s="1141"/>
      <c r="AI153" s="1141"/>
      <c r="AJ153" s="1142"/>
      <c r="AK153" s="1137">
        <f t="shared" si="16"/>
        <v>5.9500000000000455</v>
      </c>
      <c r="AL153" s="1137">
        <f t="shared" si="16"/>
        <v>0</v>
      </c>
    </row>
    <row r="154" spans="1:38" outlineLevel="2" x14ac:dyDescent="0.3">
      <c r="A154" s="1130"/>
      <c r="B154" s="1138"/>
      <c r="C154" s="1139"/>
      <c r="D154" s="1140"/>
      <c r="E154" s="1134">
        <f t="shared" si="11"/>
        <v>923</v>
      </c>
      <c r="F154" s="1141"/>
      <c r="G154" s="1141"/>
      <c r="H154" s="1141"/>
      <c r="I154" s="1141"/>
      <c r="J154" s="1141"/>
      <c r="K154" s="1135">
        <f t="shared" si="12"/>
        <v>36</v>
      </c>
      <c r="L154" s="1141"/>
      <c r="M154" s="1141"/>
      <c r="N154" s="1141"/>
      <c r="O154" s="1141"/>
      <c r="P154" s="1141"/>
      <c r="Q154" s="1141"/>
      <c r="R154" s="1141"/>
      <c r="S154" s="1141"/>
      <c r="T154" s="1141"/>
      <c r="U154" s="1135">
        <f t="shared" si="13"/>
        <v>798.75</v>
      </c>
      <c r="V154" s="1141"/>
      <c r="W154" s="1141"/>
      <c r="X154" s="1141"/>
      <c r="Y154" s="1141"/>
      <c r="Z154" s="1141"/>
      <c r="AA154" s="1141"/>
      <c r="AB154" s="1141"/>
      <c r="AC154" s="1141"/>
      <c r="AD154" s="1141"/>
      <c r="AE154" s="1135">
        <f t="shared" si="14"/>
        <v>55.5</v>
      </c>
      <c r="AF154" s="1141"/>
      <c r="AG154" s="1135">
        <f t="shared" si="15"/>
        <v>26.8</v>
      </c>
      <c r="AH154" s="1141"/>
      <c r="AI154" s="1141"/>
      <c r="AJ154" s="1142"/>
      <c r="AK154" s="1137">
        <f t="shared" si="16"/>
        <v>5.9500000000000455</v>
      </c>
      <c r="AL154" s="1137">
        <f t="shared" si="16"/>
        <v>0</v>
      </c>
    </row>
    <row r="155" spans="1:38" outlineLevel="2" x14ac:dyDescent="0.3">
      <c r="A155" s="1130"/>
      <c r="B155" s="1138"/>
      <c r="C155" s="1139"/>
      <c r="D155" s="1140"/>
      <c r="E155" s="1134">
        <f t="shared" si="11"/>
        <v>923</v>
      </c>
      <c r="F155" s="1141"/>
      <c r="G155" s="1141"/>
      <c r="H155" s="1141"/>
      <c r="I155" s="1141"/>
      <c r="J155" s="1141"/>
      <c r="K155" s="1135">
        <f t="shared" si="12"/>
        <v>36</v>
      </c>
      <c r="L155" s="1141"/>
      <c r="M155" s="1141"/>
      <c r="N155" s="1141"/>
      <c r="O155" s="1141"/>
      <c r="P155" s="1141"/>
      <c r="Q155" s="1141"/>
      <c r="R155" s="1141"/>
      <c r="S155" s="1141"/>
      <c r="T155" s="1141"/>
      <c r="U155" s="1135">
        <f t="shared" si="13"/>
        <v>798.75</v>
      </c>
      <c r="V155" s="1141"/>
      <c r="W155" s="1141"/>
      <c r="X155" s="1141"/>
      <c r="Y155" s="1141"/>
      <c r="Z155" s="1141"/>
      <c r="AA155" s="1141"/>
      <c r="AB155" s="1141"/>
      <c r="AC155" s="1141"/>
      <c r="AD155" s="1141"/>
      <c r="AE155" s="1135">
        <f t="shared" si="14"/>
        <v>55.5</v>
      </c>
      <c r="AF155" s="1141"/>
      <c r="AG155" s="1135">
        <f t="shared" si="15"/>
        <v>26.8</v>
      </c>
      <c r="AH155" s="1141"/>
      <c r="AI155" s="1141"/>
      <c r="AJ155" s="1142"/>
      <c r="AK155" s="1137">
        <f t="shared" si="16"/>
        <v>5.9500000000000455</v>
      </c>
      <c r="AL155" s="1137">
        <f t="shared" si="16"/>
        <v>0</v>
      </c>
    </row>
    <row r="156" spans="1:38" outlineLevel="2" x14ac:dyDescent="0.3">
      <c r="A156" s="1130"/>
      <c r="B156" s="1138"/>
      <c r="C156" s="1139"/>
      <c r="D156" s="1140"/>
      <c r="E156" s="1134">
        <f t="shared" si="11"/>
        <v>923</v>
      </c>
      <c r="F156" s="1141"/>
      <c r="G156" s="1141"/>
      <c r="H156" s="1141"/>
      <c r="I156" s="1141"/>
      <c r="J156" s="1141"/>
      <c r="K156" s="1135">
        <f t="shared" si="12"/>
        <v>36</v>
      </c>
      <c r="L156" s="1141"/>
      <c r="M156" s="1141"/>
      <c r="N156" s="1141"/>
      <c r="O156" s="1141"/>
      <c r="P156" s="1141"/>
      <c r="Q156" s="1141"/>
      <c r="R156" s="1141"/>
      <c r="S156" s="1141"/>
      <c r="T156" s="1141"/>
      <c r="U156" s="1135">
        <f t="shared" si="13"/>
        <v>798.75</v>
      </c>
      <c r="V156" s="1141"/>
      <c r="W156" s="1141"/>
      <c r="X156" s="1141"/>
      <c r="Y156" s="1141"/>
      <c r="Z156" s="1141"/>
      <c r="AA156" s="1141"/>
      <c r="AB156" s="1141"/>
      <c r="AC156" s="1141"/>
      <c r="AD156" s="1141"/>
      <c r="AE156" s="1135">
        <f t="shared" si="14"/>
        <v>55.5</v>
      </c>
      <c r="AF156" s="1141"/>
      <c r="AG156" s="1135">
        <f t="shared" si="15"/>
        <v>26.8</v>
      </c>
      <c r="AH156" s="1141"/>
      <c r="AI156" s="1141"/>
      <c r="AJ156" s="1142"/>
      <c r="AK156" s="1137">
        <f t="shared" si="16"/>
        <v>5.9500000000000455</v>
      </c>
      <c r="AL156" s="1137">
        <f t="shared" si="16"/>
        <v>0</v>
      </c>
    </row>
    <row r="157" spans="1:38" outlineLevel="2" x14ac:dyDescent="0.3">
      <c r="A157" s="1130"/>
      <c r="B157" s="1138"/>
      <c r="C157" s="1139"/>
      <c r="D157" s="1140"/>
      <c r="E157" s="1134">
        <f t="shared" si="11"/>
        <v>923</v>
      </c>
      <c r="F157" s="1141"/>
      <c r="G157" s="1141"/>
      <c r="H157" s="1141"/>
      <c r="I157" s="1141"/>
      <c r="J157" s="1141"/>
      <c r="K157" s="1135">
        <f t="shared" si="12"/>
        <v>36</v>
      </c>
      <c r="L157" s="1141"/>
      <c r="M157" s="1141"/>
      <c r="N157" s="1141"/>
      <c r="O157" s="1141"/>
      <c r="P157" s="1141"/>
      <c r="Q157" s="1141"/>
      <c r="R157" s="1141"/>
      <c r="S157" s="1141"/>
      <c r="T157" s="1141"/>
      <c r="U157" s="1135">
        <f t="shared" si="13"/>
        <v>798.75</v>
      </c>
      <c r="V157" s="1141"/>
      <c r="W157" s="1141"/>
      <c r="X157" s="1141"/>
      <c r="Y157" s="1141"/>
      <c r="Z157" s="1141"/>
      <c r="AA157" s="1141"/>
      <c r="AB157" s="1141"/>
      <c r="AC157" s="1141"/>
      <c r="AD157" s="1141"/>
      <c r="AE157" s="1135">
        <f t="shared" si="14"/>
        <v>55.5</v>
      </c>
      <c r="AF157" s="1141"/>
      <c r="AG157" s="1135">
        <f t="shared" si="15"/>
        <v>26.8</v>
      </c>
      <c r="AH157" s="1141"/>
      <c r="AI157" s="1141"/>
      <c r="AJ157" s="1142"/>
      <c r="AK157" s="1137">
        <f t="shared" si="16"/>
        <v>5.9500000000000455</v>
      </c>
      <c r="AL157" s="1137">
        <f t="shared" si="16"/>
        <v>0</v>
      </c>
    </row>
    <row r="158" spans="1:38" outlineLevel="2" x14ac:dyDescent="0.3">
      <c r="A158" s="1130"/>
      <c r="B158" s="1138"/>
      <c r="C158" s="1139"/>
      <c r="D158" s="1140"/>
      <c r="E158" s="1134">
        <f t="shared" si="11"/>
        <v>923</v>
      </c>
      <c r="F158" s="1141"/>
      <c r="G158" s="1141"/>
      <c r="H158" s="1141"/>
      <c r="I158" s="1141"/>
      <c r="J158" s="1141"/>
      <c r="K158" s="1135">
        <f t="shared" si="12"/>
        <v>36</v>
      </c>
      <c r="L158" s="1141"/>
      <c r="M158" s="1141"/>
      <c r="N158" s="1141"/>
      <c r="O158" s="1141"/>
      <c r="P158" s="1141"/>
      <c r="Q158" s="1141"/>
      <c r="R158" s="1141"/>
      <c r="S158" s="1141"/>
      <c r="T158" s="1141"/>
      <c r="U158" s="1135">
        <f t="shared" si="13"/>
        <v>798.75</v>
      </c>
      <c r="V158" s="1141"/>
      <c r="W158" s="1141"/>
      <c r="X158" s="1141"/>
      <c r="Y158" s="1141"/>
      <c r="Z158" s="1141"/>
      <c r="AA158" s="1141"/>
      <c r="AB158" s="1141"/>
      <c r="AC158" s="1141"/>
      <c r="AD158" s="1141"/>
      <c r="AE158" s="1135">
        <f t="shared" si="14"/>
        <v>55.5</v>
      </c>
      <c r="AF158" s="1141"/>
      <c r="AG158" s="1135">
        <f t="shared" si="15"/>
        <v>26.8</v>
      </c>
      <c r="AH158" s="1141"/>
      <c r="AI158" s="1141"/>
      <c r="AJ158" s="1142"/>
      <c r="AK158" s="1137">
        <f t="shared" si="16"/>
        <v>5.9500000000000455</v>
      </c>
      <c r="AL158" s="1137">
        <f t="shared" si="16"/>
        <v>0</v>
      </c>
    </row>
    <row r="159" spans="1:38" outlineLevel="2" x14ac:dyDescent="0.3">
      <c r="A159" s="1130"/>
      <c r="B159" s="1138"/>
      <c r="C159" s="1139"/>
      <c r="D159" s="1140"/>
      <c r="E159" s="1134">
        <f t="shared" si="11"/>
        <v>923</v>
      </c>
      <c r="F159" s="1141"/>
      <c r="G159" s="1141"/>
      <c r="H159" s="1141"/>
      <c r="I159" s="1141"/>
      <c r="J159" s="1141"/>
      <c r="K159" s="1135">
        <f t="shared" si="12"/>
        <v>36</v>
      </c>
      <c r="L159" s="1141"/>
      <c r="M159" s="1141"/>
      <c r="N159" s="1141"/>
      <c r="O159" s="1141"/>
      <c r="P159" s="1141"/>
      <c r="Q159" s="1141"/>
      <c r="R159" s="1141"/>
      <c r="S159" s="1141"/>
      <c r="T159" s="1141"/>
      <c r="U159" s="1135">
        <f t="shared" si="13"/>
        <v>798.75</v>
      </c>
      <c r="V159" s="1141"/>
      <c r="W159" s="1141"/>
      <c r="X159" s="1141"/>
      <c r="Y159" s="1141"/>
      <c r="Z159" s="1141"/>
      <c r="AA159" s="1141"/>
      <c r="AB159" s="1141"/>
      <c r="AC159" s="1141"/>
      <c r="AD159" s="1141"/>
      <c r="AE159" s="1135">
        <f t="shared" si="14"/>
        <v>55.5</v>
      </c>
      <c r="AF159" s="1141"/>
      <c r="AG159" s="1135">
        <f t="shared" si="15"/>
        <v>26.8</v>
      </c>
      <c r="AH159" s="1141"/>
      <c r="AI159" s="1141"/>
      <c r="AJ159" s="1142"/>
      <c r="AK159" s="1137">
        <f t="shared" si="16"/>
        <v>5.9500000000000455</v>
      </c>
      <c r="AL159" s="1137">
        <f t="shared" si="16"/>
        <v>0</v>
      </c>
    </row>
    <row r="160" spans="1:38" outlineLevel="2" x14ac:dyDescent="0.3">
      <c r="A160" s="1130"/>
      <c r="B160" s="1138"/>
      <c r="C160" s="1139"/>
      <c r="D160" s="1140"/>
      <c r="E160" s="1134">
        <f t="shared" si="11"/>
        <v>923</v>
      </c>
      <c r="F160" s="1141"/>
      <c r="G160" s="1141"/>
      <c r="H160" s="1141"/>
      <c r="I160" s="1141"/>
      <c r="J160" s="1141"/>
      <c r="K160" s="1135">
        <f t="shared" si="12"/>
        <v>36</v>
      </c>
      <c r="L160" s="1141"/>
      <c r="M160" s="1141"/>
      <c r="N160" s="1141"/>
      <c r="O160" s="1141"/>
      <c r="P160" s="1141"/>
      <c r="Q160" s="1141"/>
      <c r="R160" s="1141"/>
      <c r="S160" s="1141"/>
      <c r="T160" s="1141"/>
      <c r="U160" s="1135">
        <f t="shared" si="13"/>
        <v>798.75</v>
      </c>
      <c r="V160" s="1141"/>
      <c r="W160" s="1141"/>
      <c r="X160" s="1141"/>
      <c r="Y160" s="1141"/>
      <c r="Z160" s="1141"/>
      <c r="AA160" s="1141"/>
      <c r="AB160" s="1141"/>
      <c r="AC160" s="1141"/>
      <c r="AD160" s="1141"/>
      <c r="AE160" s="1135">
        <f t="shared" si="14"/>
        <v>55.5</v>
      </c>
      <c r="AF160" s="1141"/>
      <c r="AG160" s="1135">
        <f t="shared" si="15"/>
        <v>26.8</v>
      </c>
      <c r="AH160" s="1141"/>
      <c r="AI160" s="1141"/>
      <c r="AJ160" s="1142"/>
      <c r="AK160" s="1137">
        <f t="shared" si="16"/>
        <v>5.9500000000000455</v>
      </c>
      <c r="AL160" s="1137">
        <f t="shared" si="16"/>
        <v>0</v>
      </c>
    </row>
    <row r="161" spans="1:38" outlineLevel="2" x14ac:dyDescent="0.3">
      <c r="A161" s="1130"/>
      <c r="B161" s="1138"/>
      <c r="C161" s="1139"/>
      <c r="D161" s="1140"/>
      <c r="E161" s="1134">
        <f t="shared" si="11"/>
        <v>923</v>
      </c>
      <c r="F161" s="1141"/>
      <c r="G161" s="1141"/>
      <c r="H161" s="1141"/>
      <c r="I161" s="1141"/>
      <c r="J161" s="1141"/>
      <c r="K161" s="1135">
        <f t="shared" si="12"/>
        <v>36</v>
      </c>
      <c r="L161" s="1141"/>
      <c r="M161" s="1141"/>
      <c r="N161" s="1141"/>
      <c r="O161" s="1141"/>
      <c r="P161" s="1141"/>
      <c r="Q161" s="1141"/>
      <c r="R161" s="1141"/>
      <c r="S161" s="1141"/>
      <c r="T161" s="1141"/>
      <c r="U161" s="1135">
        <f t="shared" si="13"/>
        <v>798.75</v>
      </c>
      <c r="V161" s="1141"/>
      <c r="W161" s="1141"/>
      <c r="X161" s="1141"/>
      <c r="Y161" s="1141"/>
      <c r="Z161" s="1141"/>
      <c r="AA161" s="1141"/>
      <c r="AB161" s="1141"/>
      <c r="AC161" s="1141"/>
      <c r="AD161" s="1141"/>
      <c r="AE161" s="1135">
        <f t="shared" si="14"/>
        <v>55.5</v>
      </c>
      <c r="AF161" s="1141"/>
      <c r="AG161" s="1135">
        <f t="shared" si="15"/>
        <v>26.8</v>
      </c>
      <c r="AH161" s="1141"/>
      <c r="AI161" s="1141"/>
      <c r="AJ161" s="1142"/>
      <c r="AK161" s="1137">
        <f t="shared" si="16"/>
        <v>5.9500000000000455</v>
      </c>
      <c r="AL161" s="1137">
        <f t="shared" si="16"/>
        <v>0</v>
      </c>
    </row>
    <row r="162" spans="1:38" outlineLevel="2" x14ac:dyDescent="0.3">
      <c r="A162" s="1130"/>
      <c r="B162" s="1138"/>
      <c r="C162" s="1139"/>
      <c r="D162" s="1140"/>
      <c r="E162" s="1134">
        <f t="shared" si="11"/>
        <v>923</v>
      </c>
      <c r="F162" s="1141"/>
      <c r="G162" s="1141"/>
      <c r="H162" s="1141"/>
      <c r="I162" s="1141"/>
      <c r="J162" s="1141"/>
      <c r="K162" s="1135">
        <f t="shared" si="12"/>
        <v>36</v>
      </c>
      <c r="L162" s="1141"/>
      <c r="M162" s="1141"/>
      <c r="N162" s="1141"/>
      <c r="O162" s="1141"/>
      <c r="P162" s="1141"/>
      <c r="Q162" s="1141"/>
      <c r="R162" s="1141"/>
      <c r="S162" s="1141"/>
      <c r="T162" s="1141"/>
      <c r="U162" s="1135">
        <f t="shared" si="13"/>
        <v>798.75</v>
      </c>
      <c r="V162" s="1141"/>
      <c r="W162" s="1141"/>
      <c r="X162" s="1141"/>
      <c r="Y162" s="1141"/>
      <c r="Z162" s="1141"/>
      <c r="AA162" s="1141"/>
      <c r="AB162" s="1141"/>
      <c r="AC162" s="1141"/>
      <c r="AD162" s="1141"/>
      <c r="AE162" s="1135">
        <f t="shared" si="14"/>
        <v>55.5</v>
      </c>
      <c r="AF162" s="1141"/>
      <c r="AG162" s="1135">
        <f t="shared" si="15"/>
        <v>26.8</v>
      </c>
      <c r="AH162" s="1141"/>
      <c r="AI162" s="1141"/>
      <c r="AJ162" s="1142"/>
      <c r="AK162" s="1137">
        <f t="shared" si="16"/>
        <v>5.9500000000000455</v>
      </c>
      <c r="AL162" s="1137">
        <f t="shared" si="16"/>
        <v>0</v>
      </c>
    </row>
    <row r="163" spans="1:38" outlineLevel="2" x14ac:dyDescent="0.3">
      <c r="A163" s="1130"/>
      <c r="B163" s="1138"/>
      <c r="C163" s="1139"/>
      <c r="D163" s="1140"/>
      <c r="E163" s="1134">
        <f t="shared" si="11"/>
        <v>923</v>
      </c>
      <c r="F163" s="1141"/>
      <c r="G163" s="1141"/>
      <c r="H163" s="1141"/>
      <c r="I163" s="1141"/>
      <c r="J163" s="1141"/>
      <c r="K163" s="1135">
        <f t="shared" si="12"/>
        <v>36</v>
      </c>
      <c r="L163" s="1141"/>
      <c r="M163" s="1141"/>
      <c r="N163" s="1141"/>
      <c r="O163" s="1141"/>
      <c r="P163" s="1141"/>
      <c r="Q163" s="1141"/>
      <c r="R163" s="1141"/>
      <c r="S163" s="1141"/>
      <c r="T163" s="1141"/>
      <c r="U163" s="1135">
        <f t="shared" si="13"/>
        <v>798.75</v>
      </c>
      <c r="V163" s="1141"/>
      <c r="W163" s="1141"/>
      <c r="X163" s="1141"/>
      <c r="Y163" s="1141"/>
      <c r="Z163" s="1141"/>
      <c r="AA163" s="1141"/>
      <c r="AB163" s="1141"/>
      <c r="AC163" s="1141"/>
      <c r="AD163" s="1141"/>
      <c r="AE163" s="1135">
        <f t="shared" si="14"/>
        <v>55.5</v>
      </c>
      <c r="AF163" s="1141"/>
      <c r="AG163" s="1135">
        <f t="shared" si="15"/>
        <v>26.8</v>
      </c>
      <c r="AH163" s="1141"/>
      <c r="AI163" s="1141"/>
      <c r="AJ163" s="1142"/>
      <c r="AK163" s="1137">
        <f t="shared" si="16"/>
        <v>5.9500000000000455</v>
      </c>
      <c r="AL163" s="1137">
        <f t="shared" si="16"/>
        <v>0</v>
      </c>
    </row>
    <row r="164" spans="1:38" outlineLevel="2" x14ac:dyDescent="0.3">
      <c r="A164" s="1130"/>
      <c r="B164" s="1138"/>
      <c r="C164" s="1139"/>
      <c r="D164" s="1140"/>
      <c r="E164" s="1134">
        <f t="shared" si="11"/>
        <v>923</v>
      </c>
      <c r="F164" s="1141"/>
      <c r="G164" s="1141"/>
      <c r="H164" s="1141"/>
      <c r="I164" s="1141"/>
      <c r="J164" s="1141"/>
      <c r="K164" s="1135">
        <f t="shared" si="12"/>
        <v>36</v>
      </c>
      <c r="L164" s="1141"/>
      <c r="M164" s="1141"/>
      <c r="N164" s="1141"/>
      <c r="O164" s="1141"/>
      <c r="P164" s="1141"/>
      <c r="Q164" s="1141"/>
      <c r="R164" s="1141"/>
      <c r="S164" s="1141"/>
      <c r="T164" s="1141"/>
      <c r="U164" s="1135">
        <f t="shared" si="13"/>
        <v>798.75</v>
      </c>
      <c r="V164" s="1141"/>
      <c r="W164" s="1141"/>
      <c r="X164" s="1141"/>
      <c r="Y164" s="1141"/>
      <c r="Z164" s="1141"/>
      <c r="AA164" s="1141"/>
      <c r="AB164" s="1141"/>
      <c r="AC164" s="1141"/>
      <c r="AD164" s="1141"/>
      <c r="AE164" s="1135">
        <f t="shared" si="14"/>
        <v>55.5</v>
      </c>
      <c r="AF164" s="1141"/>
      <c r="AG164" s="1135">
        <f t="shared" si="15"/>
        <v>26.8</v>
      </c>
      <c r="AH164" s="1141"/>
      <c r="AI164" s="1141"/>
      <c r="AJ164" s="1142"/>
      <c r="AK164" s="1137">
        <f t="shared" si="16"/>
        <v>5.9500000000000455</v>
      </c>
      <c r="AL164" s="1137">
        <f t="shared" si="16"/>
        <v>0</v>
      </c>
    </row>
    <row r="165" spans="1:38" outlineLevel="2" x14ac:dyDescent="0.3">
      <c r="A165" s="1130"/>
      <c r="B165" s="1138"/>
      <c r="C165" s="1139"/>
      <c r="D165" s="1140"/>
      <c r="E165" s="1134">
        <f t="shared" si="11"/>
        <v>923</v>
      </c>
      <c r="F165" s="1141"/>
      <c r="G165" s="1141"/>
      <c r="H165" s="1141"/>
      <c r="I165" s="1141"/>
      <c r="J165" s="1141"/>
      <c r="K165" s="1135">
        <f t="shared" si="12"/>
        <v>36</v>
      </c>
      <c r="L165" s="1141"/>
      <c r="M165" s="1141"/>
      <c r="N165" s="1141"/>
      <c r="O165" s="1141"/>
      <c r="P165" s="1141"/>
      <c r="Q165" s="1141"/>
      <c r="R165" s="1141"/>
      <c r="S165" s="1141"/>
      <c r="T165" s="1141"/>
      <c r="U165" s="1135">
        <f t="shared" si="13"/>
        <v>798.75</v>
      </c>
      <c r="V165" s="1141"/>
      <c r="W165" s="1141"/>
      <c r="X165" s="1141"/>
      <c r="Y165" s="1141"/>
      <c r="Z165" s="1141"/>
      <c r="AA165" s="1141"/>
      <c r="AB165" s="1141"/>
      <c r="AC165" s="1141"/>
      <c r="AD165" s="1141"/>
      <c r="AE165" s="1135">
        <f t="shared" si="14"/>
        <v>55.5</v>
      </c>
      <c r="AF165" s="1141"/>
      <c r="AG165" s="1135">
        <f t="shared" si="15"/>
        <v>26.8</v>
      </c>
      <c r="AH165" s="1141"/>
      <c r="AI165" s="1141"/>
      <c r="AJ165" s="1142"/>
      <c r="AK165" s="1137">
        <f t="shared" si="16"/>
        <v>5.9500000000000455</v>
      </c>
      <c r="AL165" s="1137">
        <f t="shared" si="16"/>
        <v>0</v>
      </c>
    </row>
    <row r="166" spans="1:38" outlineLevel="2" x14ac:dyDescent="0.3">
      <c r="A166" s="1130"/>
      <c r="B166" s="1138"/>
      <c r="C166" s="1139"/>
      <c r="D166" s="1140"/>
      <c r="E166" s="1134">
        <f t="shared" si="11"/>
        <v>923</v>
      </c>
      <c r="F166" s="1141"/>
      <c r="G166" s="1141"/>
      <c r="H166" s="1141"/>
      <c r="I166" s="1141"/>
      <c r="J166" s="1141"/>
      <c r="K166" s="1135">
        <f t="shared" si="12"/>
        <v>36</v>
      </c>
      <c r="L166" s="1141"/>
      <c r="M166" s="1141"/>
      <c r="N166" s="1141"/>
      <c r="O166" s="1141"/>
      <c r="P166" s="1141"/>
      <c r="Q166" s="1141"/>
      <c r="R166" s="1141"/>
      <c r="S166" s="1141"/>
      <c r="T166" s="1141"/>
      <c r="U166" s="1135">
        <f t="shared" si="13"/>
        <v>798.75</v>
      </c>
      <c r="V166" s="1141"/>
      <c r="W166" s="1141"/>
      <c r="X166" s="1141"/>
      <c r="Y166" s="1141"/>
      <c r="Z166" s="1141"/>
      <c r="AA166" s="1141"/>
      <c r="AB166" s="1141"/>
      <c r="AC166" s="1141"/>
      <c r="AD166" s="1141"/>
      <c r="AE166" s="1135">
        <f t="shared" si="14"/>
        <v>55.5</v>
      </c>
      <c r="AF166" s="1141"/>
      <c r="AG166" s="1135">
        <f t="shared" si="15"/>
        <v>26.8</v>
      </c>
      <c r="AH166" s="1141"/>
      <c r="AI166" s="1141"/>
      <c r="AJ166" s="1142"/>
      <c r="AK166" s="1137">
        <f t="shared" si="16"/>
        <v>5.9500000000000455</v>
      </c>
      <c r="AL166" s="1137">
        <f t="shared" si="16"/>
        <v>0</v>
      </c>
    </row>
    <row r="167" spans="1:38" outlineLevel="2" x14ac:dyDescent="0.3">
      <c r="A167" s="1130"/>
      <c r="B167" s="1138"/>
      <c r="C167" s="1139"/>
      <c r="D167" s="1140"/>
      <c r="E167" s="1143"/>
      <c r="F167" s="1141"/>
      <c r="G167" s="1141"/>
      <c r="H167" s="1141"/>
      <c r="I167" s="1141"/>
      <c r="J167" s="1141"/>
      <c r="K167" s="1141"/>
      <c r="L167" s="1141"/>
      <c r="M167" s="1141"/>
      <c r="N167" s="1141"/>
      <c r="O167" s="1141"/>
      <c r="P167" s="1141"/>
      <c r="Q167" s="1141"/>
      <c r="R167" s="1141"/>
      <c r="S167" s="1141"/>
      <c r="T167" s="1141"/>
      <c r="U167" s="1135"/>
      <c r="V167" s="1141"/>
      <c r="W167" s="1141"/>
      <c r="X167" s="1141"/>
      <c r="Y167" s="1141"/>
      <c r="Z167" s="1141"/>
      <c r="AA167" s="1141"/>
      <c r="AB167" s="1141"/>
      <c r="AC167" s="1141"/>
      <c r="AD167" s="1141"/>
      <c r="AE167" s="1135"/>
      <c r="AF167" s="1141"/>
      <c r="AG167" s="1135"/>
      <c r="AH167" s="1141"/>
      <c r="AI167" s="1141"/>
      <c r="AJ167" s="1142"/>
      <c r="AK167" s="1137"/>
      <c r="AL167" s="1144"/>
    </row>
    <row r="168" spans="1:38" outlineLevel="2" x14ac:dyDescent="0.3">
      <c r="A168" s="1130"/>
      <c r="B168" s="1138"/>
      <c r="C168" s="1139"/>
      <c r="D168" s="1140"/>
      <c r="E168" s="1143"/>
      <c r="F168" s="1141"/>
      <c r="G168" s="1141"/>
      <c r="H168" s="1141"/>
      <c r="I168" s="1141"/>
      <c r="J168" s="1141"/>
      <c r="K168" s="1141"/>
      <c r="L168" s="1141"/>
      <c r="M168" s="1141"/>
      <c r="N168" s="1141"/>
      <c r="O168" s="1141"/>
      <c r="P168" s="1141"/>
      <c r="Q168" s="1141"/>
      <c r="R168" s="1141"/>
      <c r="S168" s="1141"/>
      <c r="T168" s="1141"/>
      <c r="U168" s="1141"/>
      <c r="V168" s="1141"/>
      <c r="W168" s="1141"/>
      <c r="X168" s="1141"/>
      <c r="Y168" s="1141"/>
      <c r="Z168" s="1141"/>
      <c r="AA168" s="1141"/>
      <c r="AB168" s="1141"/>
      <c r="AC168" s="1141"/>
      <c r="AD168" s="1141"/>
      <c r="AE168" s="1141"/>
      <c r="AF168" s="1141"/>
      <c r="AG168" s="1141"/>
      <c r="AH168" s="1141"/>
      <c r="AI168" s="1141"/>
      <c r="AJ168" s="1142"/>
      <c r="AK168" s="1142"/>
      <c r="AL168" s="1144"/>
    </row>
    <row r="169" spans="1:38" ht="15" outlineLevel="1" thickBot="1" x14ac:dyDescent="0.35">
      <c r="A169" s="1130"/>
      <c r="B169" s="1145" t="s">
        <v>550</v>
      </c>
      <c r="C169" s="1146"/>
      <c r="D169" s="1147"/>
      <c r="E169" s="1148">
        <f t="shared" ref="E169:AL169" si="17">SUBTOTAL(9,E117:E168)</f>
        <v>46150</v>
      </c>
      <c r="F169" s="1149">
        <f t="shared" si="17"/>
        <v>7435.1000000000013</v>
      </c>
      <c r="G169" s="1149">
        <f t="shared" si="17"/>
        <v>0</v>
      </c>
      <c r="H169" s="1149">
        <f t="shared" si="17"/>
        <v>0</v>
      </c>
      <c r="I169" s="1149">
        <f t="shared" si="17"/>
        <v>0</v>
      </c>
      <c r="J169" s="1149">
        <f t="shared" si="17"/>
        <v>0</v>
      </c>
      <c r="K169" s="1149">
        <f t="shared" si="17"/>
        <v>1800</v>
      </c>
      <c r="L169" s="1149">
        <f t="shared" si="17"/>
        <v>0</v>
      </c>
      <c r="M169" s="1149">
        <f t="shared" si="17"/>
        <v>0</v>
      </c>
      <c r="N169" s="1149">
        <f t="shared" si="17"/>
        <v>0</v>
      </c>
      <c r="O169" s="1149">
        <f t="shared" si="17"/>
        <v>0</v>
      </c>
      <c r="P169" s="1149">
        <f t="shared" si="17"/>
        <v>0</v>
      </c>
      <c r="Q169" s="1149">
        <f t="shared" si="17"/>
        <v>0</v>
      </c>
      <c r="R169" s="1149">
        <f t="shared" si="17"/>
        <v>0</v>
      </c>
      <c r="S169" s="1149">
        <f t="shared" si="17"/>
        <v>0</v>
      </c>
      <c r="T169" s="1149">
        <f t="shared" si="17"/>
        <v>0</v>
      </c>
      <c r="U169" s="1149">
        <f t="shared" si="17"/>
        <v>39937.5</v>
      </c>
      <c r="V169" s="1149">
        <f t="shared" si="17"/>
        <v>0</v>
      </c>
      <c r="W169" s="1149">
        <f t="shared" si="17"/>
        <v>0</v>
      </c>
      <c r="X169" s="1149">
        <f t="shared" si="17"/>
        <v>0</v>
      </c>
      <c r="Y169" s="1149">
        <f t="shared" si="17"/>
        <v>0</v>
      </c>
      <c r="Z169" s="1149">
        <f t="shared" si="17"/>
        <v>0</v>
      </c>
      <c r="AA169" s="1149">
        <f t="shared" si="17"/>
        <v>0</v>
      </c>
      <c r="AB169" s="1149">
        <f t="shared" si="17"/>
        <v>0</v>
      </c>
      <c r="AC169" s="1149">
        <f t="shared" si="17"/>
        <v>0</v>
      </c>
      <c r="AD169" s="1149">
        <f t="shared" si="17"/>
        <v>0</v>
      </c>
      <c r="AE169" s="1149">
        <f t="shared" si="17"/>
        <v>2775</v>
      </c>
      <c r="AF169" s="1149">
        <f t="shared" si="17"/>
        <v>0</v>
      </c>
      <c r="AG169" s="1149">
        <f t="shared" si="17"/>
        <v>1339.9999999999989</v>
      </c>
      <c r="AH169" s="1149">
        <f t="shared" si="17"/>
        <v>0</v>
      </c>
      <c r="AI169" s="1149">
        <f t="shared" si="17"/>
        <v>0</v>
      </c>
      <c r="AJ169" s="1149">
        <f t="shared" si="17"/>
        <v>0</v>
      </c>
      <c r="AK169" s="1149">
        <f t="shared" si="17"/>
        <v>297.50000000000227</v>
      </c>
      <c r="AL169" s="1149">
        <f t="shared" si="17"/>
        <v>7435.1000000000013</v>
      </c>
    </row>
    <row r="170" spans="1:38" ht="36" outlineLevel="1" x14ac:dyDescent="0.35">
      <c r="A170" s="1150" t="s">
        <v>1460</v>
      </c>
      <c r="B170" s="1151" t="s">
        <v>625</v>
      </c>
      <c r="C170" s="1152"/>
      <c r="D170" s="1153"/>
      <c r="E170" s="1154"/>
      <c r="F170" s="1155"/>
      <c r="G170" s="1155"/>
      <c r="H170" s="1155"/>
      <c r="I170" s="1155"/>
      <c r="J170" s="1155"/>
      <c r="K170" s="1155"/>
      <c r="L170" s="1155"/>
      <c r="M170" s="1155"/>
      <c r="N170" s="1155"/>
      <c r="O170" s="1155"/>
      <c r="P170" s="1155"/>
      <c r="Q170" s="1155"/>
      <c r="R170" s="1155"/>
      <c r="S170" s="1155"/>
      <c r="T170" s="1155"/>
      <c r="U170" s="1155"/>
      <c r="V170" s="1155"/>
      <c r="W170" s="1155"/>
      <c r="X170" s="1155"/>
      <c r="Y170" s="1155"/>
      <c r="Z170" s="1155"/>
      <c r="AA170" s="1155"/>
      <c r="AB170" s="1155"/>
      <c r="AC170" s="1155"/>
      <c r="AD170" s="1155"/>
      <c r="AE170" s="1155"/>
      <c r="AF170" s="1155"/>
      <c r="AG170" s="1155"/>
      <c r="AH170" s="1155"/>
      <c r="AI170" s="1155"/>
      <c r="AJ170" s="1156"/>
      <c r="AK170" s="1156"/>
      <c r="AL170" s="1157"/>
    </row>
    <row r="171" spans="1:38" hidden="1" outlineLevel="2" x14ac:dyDescent="0.3">
      <c r="A171" s="1158"/>
      <c r="B171" s="1159" t="s">
        <v>1461</v>
      </c>
      <c r="C171" s="1160"/>
      <c r="D171" s="1161"/>
      <c r="E171" s="1162"/>
      <c r="F171" s="1163"/>
      <c r="G171" s="1163">
        <v>200</v>
      </c>
      <c r="H171" s="1163"/>
      <c r="I171" s="1163">
        <v>500</v>
      </c>
      <c r="J171" s="1163"/>
      <c r="K171" s="1163">
        <v>0</v>
      </c>
      <c r="L171" s="1163"/>
      <c r="M171" s="1163">
        <v>400</v>
      </c>
      <c r="N171" s="1163"/>
      <c r="O171" s="1163">
        <v>500</v>
      </c>
      <c r="P171" s="1163"/>
      <c r="Q171" s="1163">
        <v>200</v>
      </c>
      <c r="R171" s="1163"/>
      <c r="S171" s="1163">
        <v>100</v>
      </c>
      <c r="T171" s="1163"/>
      <c r="U171" s="1163">
        <v>0</v>
      </c>
      <c r="V171" s="1163"/>
      <c r="W171" s="1163">
        <v>250</v>
      </c>
      <c r="X171" s="1163"/>
      <c r="Y171" s="1163">
        <v>100</v>
      </c>
      <c r="Z171" s="1163"/>
      <c r="AA171" s="1163">
        <v>30</v>
      </c>
      <c r="AB171" s="1163"/>
      <c r="AC171" s="1163">
        <v>160</v>
      </c>
      <c r="AD171" s="1163"/>
      <c r="AE171" s="1163">
        <v>50</v>
      </c>
      <c r="AF171" s="1163"/>
      <c r="AG171" s="1163">
        <v>0</v>
      </c>
      <c r="AH171" s="1163"/>
      <c r="AI171" s="1163">
        <v>0</v>
      </c>
      <c r="AJ171" s="1164"/>
      <c r="AK171" s="1164"/>
      <c r="AL171" s="1165"/>
    </row>
    <row r="172" spans="1:38" hidden="1" outlineLevel="2" x14ac:dyDescent="0.3">
      <c r="A172" s="1158"/>
      <c r="B172" s="1159" t="s">
        <v>1462</v>
      </c>
      <c r="C172" s="1160"/>
      <c r="D172" s="1161"/>
      <c r="E172" s="1162">
        <v>0</v>
      </c>
      <c r="F172" s="1163"/>
      <c r="G172" s="1163">
        <v>0</v>
      </c>
      <c r="H172" s="1163"/>
      <c r="I172" s="1163">
        <v>0</v>
      </c>
      <c r="J172" s="1163"/>
      <c r="K172" s="1163">
        <v>0</v>
      </c>
      <c r="L172" s="1163"/>
      <c r="M172" s="1163">
        <v>0</v>
      </c>
      <c r="N172" s="1163"/>
      <c r="O172" s="1163">
        <v>0</v>
      </c>
      <c r="P172" s="1163"/>
      <c r="Q172" s="1163">
        <v>0</v>
      </c>
      <c r="R172" s="1163"/>
      <c r="S172" s="1163">
        <v>0</v>
      </c>
      <c r="T172" s="1163"/>
      <c r="U172" s="1163">
        <v>0</v>
      </c>
      <c r="V172" s="1163"/>
      <c r="W172" s="1163">
        <v>200</v>
      </c>
      <c r="X172" s="1163"/>
      <c r="Y172" s="1163">
        <v>0</v>
      </c>
      <c r="Z172" s="1163"/>
      <c r="AA172" s="1163">
        <v>0</v>
      </c>
      <c r="AB172" s="1163"/>
      <c r="AC172" s="1163">
        <v>0</v>
      </c>
      <c r="AD172" s="1163"/>
      <c r="AE172" s="1163">
        <v>1000</v>
      </c>
      <c r="AF172" s="1163"/>
      <c r="AG172" s="1163">
        <v>100</v>
      </c>
      <c r="AH172" s="1163"/>
      <c r="AI172" s="1163">
        <v>0</v>
      </c>
      <c r="AJ172" s="1164"/>
      <c r="AK172" s="1164"/>
      <c r="AL172" s="1165"/>
    </row>
    <row r="173" spans="1:38" hidden="1" outlineLevel="2" x14ac:dyDescent="0.3">
      <c r="A173" s="1158"/>
      <c r="B173" s="1159" t="s">
        <v>1463</v>
      </c>
      <c r="C173" s="1160"/>
      <c r="D173" s="1161"/>
      <c r="E173" s="1162">
        <v>0</v>
      </c>
      <c r="F173" s="1163"/>
      <c r="G173" s="1163">
        <v>0</v>
      </c>
      <c r="H173" s="1163"/>
      <c r="I173" s="1163">
        <v>0</v>
      </c>
      <c r="J173" s="1163"/>
      <c r="K173" s="1163">
        <v>0</v>
      </c>
      <c r="L173" s="1163"/>
      <c r="M173" s="1163">
        <v>0</v>
      </c>
      <c r="N173" s="1163"/>
      <c r="O173" s="1163">
        <v>0</v>
      </c>
      <c r="P173" s="1163"/>
      <c r="Q173" s="1163">
        <v>0</v>
      </c>
      <c r="R173" s="1163"/>
      <c r="S173" s="1163">
        <v>0</v>
      </c>
      <c r="T173" s="1163"/>
      <c r="U173" s="1163">
        <v>0</v>
      </c>
      <c r="V173" s="1163"/>
      <c r="W173" s="1163">
        <v>0</v>
      </c>
      <c r="X173" s="1163"/>
      <c r="Y173" s="1163">
        <v>0</v>
      </c>
      <c r="Z173" s="1163"/>
      <c r="AA173" s="1163">
        <v>0</v>
      </c>
      <c r="AB173" s="1163"/>
      <c r="AC173" s="1163">
        <v>0</v>
      </c>
      <c r="AD173" s="1163"/>
      <c r="AE173" s="1163">
        <v>0</v>
      </c>
      <c r="AF173" s="1163"/>
      <c r="AG173" s="1163">
        <v>0</v>
      </c>
      <c r="AH173" s="1163"/>
      <c r="AI173" s="1163">
        <v>200</v>
      </c>
      <c r="AJ173" s="1164"/>
      <c r="AK173" s="1164"/>
      <c r="AL173" s="1165"/>
    </row>
    <row r="174" spans="1:38" hidden="1" outlineLevel="2" x14ac:dyDescent="0.3">
      <c r="A174" s="1158"/>
      <c r="B174" s="1166"/>
      <c r="C174" s="1167"/>
      <c r="D174" s="1168"/>
      <c r="E174" s="1169"/>
      <c r="F174" s="1170"/>
      <c r="G174" s="1170"/>
      <c r="H174" s="1170"/>
      <c r="I174" s="1170"/>
      <c r="J174" s="1170"/>
      <c r="K174" s="1170"/>
      <c r="L174" s="1170"/>
      <c r="M174" s="1170"/>
      <c r="N174" s="1170"/>
      <c r="O174" s="1170"/>
      <c r="P174" s="1170"/>
      <c r="Q174" s="1170"/>
      <c r="R174" s="1170"/>
      <c r="S174" s="1170"/>
      <c r="T174" s="1170"/>
      <c r="U174" s="1170"/>
      <c r="V174" s="1170"/>
      <c r="W174" s="1170"/>
      <c r="X174" s="1170"/>
      <c r="Y174" s="1170"/>
      <c r="Z174" s="1170"/>
      <c r="AA174" s="1170"/>
      <c r="AB174" s="1170"/>
      <c r="AC174" s="1170"/>
      <c r="AD174" s="1170"/>
      <c r="AE174" s="1170"/>
      <c r="AF174" s="1170"/>
      <c r="AG174" s="1170"/>
      <c r="AH174" s="1170"/>
      <c r="AI174" s="1170"/>
      <c r="AJ174" s="1171"/>
      <c r="AK174" s="1171"/>
      <c r="AL174" s="1172"/>
    </row>
    <row r="175" spans="1:38" hidden="1" outlineLevel="2" x14ac:dyDescent="0.3">
      <c r="A175" s="1158"/>
      <c r="B175" s="1166"/>
      <c r="C175" s="1167"/>
      <c r="D175" s="1168"/>
      <c r="E175" s="1169"/>
      <c r="F175" s="1170"/>
      <c r="G175" s="1170"/>
      <c r="H175" s="1170"/>
      <c r="I175" s="1170"/>
      <c r="J175" s="1170"/>
      <c r="K175" s="1170"/>
      <c r="L175" s="1170"/>
      <c r="M175" s="1170"/>
      <c r="N175" s="1170"/>
      <c r="O175" s="1170"/>
      <c r="P175" s="1170"/>
      <c r="Q175" s="1170"/>
      <c r="R175" s="1170"/>
      <c r="S175" s="1170"/>
      <c r="T175" s="1170"/>
      <c r="U175" s="1170"/>
      <c r="V175" s="1170"/>
      <c r="W175" s="1170"/>
      <c r="X175" s="1170"/>
      <c r="Y175" s="1170"/>
      <c r="Z175" s="1170"/>
      <c r="AA175" s="1170"/>
      <c r="AB175" s="1170"/>
      <c r="AC175" s="1170"/>
      <c r="AD175" s="1170"/>
      <c r="AE175" s="1170"/>
      <c r="AF175" s="1170"/>
      <c r="AG175" s="1170"/>
      <c r="AH175" s="1170"/>
      <c r="AI175" s="1170"/>
      <c r="AJ175" s="1171"/>
      <c r="AK175" s="1171"/>
      <c r="AL175" s="1172"/>
    </row>
    <row r="176" spans="1:38" hidden="1" outlineLevel="2" x14ac:dyDescent="0.3">
      <c r="A176" s="1158"/>
      <c r="B176" s="1166"/>
      <c r="C176" s="1167"/>
      <c r="D176" s="1168"/>
      <c r="E176" s="1169"/>
      <c r="F176" s="1170"/>
      <c r="G176" s="1170"/>
      <c r="H176" s="1170"/>
      <c r="I176" s="1170"/>
      <c r="J176" s="1170"/>
      <c r="K176" s="1170"/>
      <c r="L176" s="1170"/>
      <c r="M176" s="1170"/>
      <c r="N176" s="1170"/>
      <c r="O176" s="1170"/>
      <c r="P176" s="1170"/>
      <c r="Q176" s="1170"/>
      <c r="R176" s="1170"/>
      <c r="S176" s="1170"/>
      <c r="T176" s="1170"/>
      <c r="U176" s="1170"/>
      <c r="V176" s="1170"/>
      <c r="W176" s="1170"/>
      <c r="X176" s="1170"/>
      <c r="Y176" s="1170"/>
      <c r="Z176" s="1170"/>
      <c r="AA176" s="1170"/>
      <c r="AB176" s="1170"/>
      <c r="AC176" s="1170"/>
      <c r="AD176" s="1170"/>
      <c r="AE176" s="1170"/>
      <c r="AF176" s="1170"/>
      <c r="AG176" s="1170"/>
      <c r="AH176" s="1170"/>
      <c r="AI176" s="1170"/>
      <c r="AJ176" s="1171"/>
      <c r="AK176" s="1171"/>
      <c r="AL176" s="1172"/>
    </row>
    <row r="177" spans="1:38" hidden="1" outlineLevel="2" x14ac:dyDescent="0.3">
      <c r="A177" s="1158"/>
      <c r="B177" s="1166"/>
      <c r="C177" s="1167"/>
      <c r="D177" s="1168"/>
      <c r="E177" s="1169"/>
      <c r="F177" s="1170"/>
      <c r="G177" s="1170"/>
      <c r="H177" s="1170"/>
      <c r="I177" s="1170"/>
      <c r="J177" s="1170"/>
      <c r="K177" s="1170"/>
      <c r="L177" s="1170"/>
      <c r="M177" s="1170"/>
      <c r="N177" s="1170"/>
      <c r="O177" s="1170"/>
      <c r="P177" s="1170"/>
      <c r="Q177" s="1170"/>
      <c r="R177" s="1170"/>
      <c r="S177" s="1170"/>
      <c r="T177" s="1170"/>
      <c r="U177" s="1170"/>
      <c r="V177" s="1170"/>
      <c r="W177" s="1170"/>
      <c r="X177" s="1170"/>
      <c r="Y177" s="1170"/>
      <c r="Z177" s="1170"/>
      <c r="AA177" s="1170"/>
      <c r="AB177" s="1170"/>
      <c r="AC177" s="1170"/>
      <c r="AD177" s="1170"/>
      <c r="AE177" s="1170"/>
      <c r="AF177" s="1170"/>
      <c r="AG177" s="1170"/>
      <c r="AH177" s="1170"/>
      <c r="AI177" s="1170"/>
      <c r="AJ177" s="1171"/>
      <c r="AK177" s="1171"/>
      <c r="AL177" s="1172"/>
    </row>
    <row r="178" spans="1:38" hidden="1" outlineLevel="2" x14ac:dyDescent="0.3">
      <c r="A178" s="1158"/>
      <c r="B178" s="1166"/>
      <c r="C178" s="1167"/>
      <c r="D178" s="1168"/>
      <c r="E178" s="1169"/>
      <c r="F178" s="1170"/>
      <c r="G178" s="1170"/>
      <c r="H178" s="1170"/>
      <c r="I178" s="1170"/>
      <c r="J178" s="1170"/>
      <c r="K178" s="1170"/>
      <c r="L178" s="1170"/>
      <c r="M178" s="1170"/>
      <c r="N178" s="1170"/>
      <c r="O178" s="1170"/>
      <c r="P178" s="1170"/>
      <c r="Q178" s="1170"/>
      <c r="R178" s="1170"/>
      <c r="S178" s="1170"/>
      <c r="T178" s="1170"/>
      <c r="U178" s="1170"/>
      <c r="V178" s="1170"/>
      <c r="W178" s="1170"/>
      <c r="X178" s="1170"/>
      <c r="Y178" s="1170"/>
      <c r="Z178" s="1170"/>
      <c r="AA178" s="1170"/>
      <c r="AB178" s="1170"/>
      <c r="AC178" s="1170"/>
      <c r="AD178" s="1170"/>
      <c r="AE178" s="1170"/>
      <c r="AF178" s="1170"/>
      <c r="AG178" s="1170"/>
      <c r="AH178" s="1170"/>
      <c r="AI178" s="1170"/>
      <c r="AJ178" s="1171"/>
      <c r="AK178" s="1171"/>
      <c r="AL178" s="1172"/>
    </row>
    <row r="179" spans="1:38" hidden="1" outlineLevel="2" x14ac:dyDescent="0.3">
      <c r="A179" s="1158"/>
      <c r="B179" s="1166"/>
      <c r="C179" s="1167"/>
      <c r="D179" s="1168"/>
      <c r="E179" s="1169"/>
      <c r="F179" s="1170"/>
      <c r="G179" s="1170"/>
      <c r="H179" s="1170"/>
      <c r="I179" s="1170"/>
      <c r="J179" s="1170"/>
      <c r="K179" s="1170"/>
      <c r="L179" s="1170"/>
      <c r="M179" s="1170"/>
      <c r="N179" s="1170"/>
      <c r="O179" s="1170"/>
      <c r="P179" s="1170"/>
      <c r="Q179" s="1170"/>
      <c r="R179" s="1170"/>
      <c r="S179" s="1170"/>
      <c r="T179" s="1170"/>
      <c r="U179" s="1170"/>
      <c r="V179" s="1170"/>
      <c r="W179" s="1170"/>
      <c r="X179" s="1170"/>
      <c r="Y179" s="1170"/>
      <c r="Z179" s="1170"/>
      <c r="AA179" s="1170"/>
      <c r="AB179" s="1170"/>
      <c r="AC179" s="1170"/>
      <c r="AD179" s="1170"/>
      <c r="AE179" s="1170"/>
      <c r="AF179" s="1170"/>
      <c r="AG179" s="1170"/>
      <c r="AH179" s="1170"/>
      <c r="AI179" s="1170"/>
      <c r="AJ179" s="1171"/>
      <c r="AK179" s="1171"/>
      <c r="AL179" s="1172"/>
    </row>
    <row r="180" spans="1:38" ht="15" outlineLevel="1" collapsed="1" thickBot="1" x14ac:dyDescent="0.35">
      <c r="A180" s="1158"/>
      <c r="B180" s="1173" t="s">
        <v>550</v>
      </c>
      <c r="C180" s="1174"/>
      <c r="D180" s="1175"/>
      <c r="E180" s="1176">
        <f>SUBTOTAL(9,E171:E173)</f>
        <v>0</v>
      </c>
      <c r="F180" s="1177"/>
      <c r="G180" s="1177">
        <f>SUBTOTAL(9,G171:G173)</f>
        <v>200</v>
      </c>
      <c r="H180" s="1177"/>
      <c r="I180" s="1177">
        <f>SUBTOTAL(9,I171:I173)</f>
        <v>500</v>
      </c>
      <c r="J180" s="1177"/>
      <c r="K180" s="1177">
        <f>SUBTOTAL(9,K171:K173)</f>
        <v>0</v>
      </c>
      <c r="L180" s="1177"/>
      <c r="M180" s="1177">
        <f>SUBTOTAL(9,M171:M173)</f>
        <v>400</v>
      </c>
      <c r="N180" s="1177"/>
      <c r="O180" s="1177">
        <f>SUBTOTAL(9,O171:O173)</f>
        <v>500</v>
      </c>
      <c r="P180" s="1177"/>
      <c r="Q180" s="1177">
        <f>SUBTOTAL(9,Q171:Q173)</f>
        <v>200</v>
      </c>
      <c r="R180" s="1177"/>
      <c r="S180" s="1177">
        <f>SUBTOTAL(9,S171:S173)</f>
        <v>100</v>
      </c>
      <c r="T180" s="1177"/>
      <c r="U180" s="1177">
        <f>SUBTOTAL(9,U171:U173)</f>
        <v>0</v>
      </c>
      <c r="V180" s="1177"/>
      <c r="W180" s="1177">
        <f>SUBTOTAL(9,W171:W173)</f>
        <v>450</v>
      </c>
      <c r="X180" s="1177"/>
      <c r="Y180" s="1177">
        <f>SUBTOTAL(9,Y171:Y173)</f>
        <v>100</v>
      </c>
      <c r="Z180" s="1177"/>
      <c r="AA180" s="1177">
        <f>SUBTOTAL(9,AA171:AA173)</f>
        <v>30</v>
      </c>
      <c r="AB180" s="1177"/>
      <c r="AC180" s="1177">
        <f>SUBTOTAL(9,AC171:AC173)</f>
        <v>160</v>
      </c>
      <c r="AD180" s="1177"/>
      <c r="AE180" s="1177">
        <f>SUBTOTAL(9,AE171:AE173)</f>
        <v>1050</v>
      </c>
      <c r="AF180" s="1177"/>
      <c r="AG180" s="1177">
        <f>SUBTOTAL(9,AG171:AG173)</f>
        <v>100</v>
      </c>
      <c r="AH180" s="1177"/>
      <c r="AI180" s="1177">
        <f>SUBTOTAL(9,AI171:AI173)</f>
        <v>200</v>
      </c>
      <c r="AJ180" s="1178"/>
      <c r="AK180" s="1178"/>
      <c r="AL180" s="1179"/>
    </row>
    <row r="181" spans="1:38" ht="18" outlineLevel="1" x14ac:dyDescent="0.35">
      <c r="A181" s="1180" t="s">
        <v>1464</v>
      </c>
      <c r="B181" s="1181" t="s">
        <v>625</v>
      </c>
      <c r="C181" s="1182"/>
      <c r="D181" s="1183"/>
      <c r="E181" s="1184"/>
      <c r="F181" s="1185"/>
      <c r="G181" s="1185"/>
      <c r="H181" s="1185"/>
      <c r="I181" s="1185"/>
      <c r="J181" s="1185"/>
      <c r="K181" s="1185"/>
      <c r="L181" s="1185"/>
      <c r="M181" s="1185"/>
      <c r="N181" s="1185"/>
      <c r="O181" s="1185"/>
      <c r="P181" s="1185"/>
      <c r="Q181" s="1185"/>
      <c r="R181" s="1185"/>
      <c r="S181" s="1185"/>
      <c r="T181" s="1185"/>
      <c r="U181" s="1185"/>
      <c r="V181" s="1185"/>
      <c r="W181" s="1185"/>
      <c r="X181" s="1185"/>
      <c r="Y181" s="1185"/>
      <c r="Z181" s="1185"/>
      <c r="AA181" s="1185"/>
      <c r="AB181" s="1185"/>
      <c r="AC181" s="1185"/>
      <c r="AD181" s="1185"/>
      <c r="AE181" s="1185"/>
      <c r="AF181" s="1185"/>
      <c r="AG181" s="1185"/>
      <c r="AH181" s="1185"/>
      <c r="AI181" s="1185"/>
      <c r="AJ181" s="1186"/>
      <c r="AK181" s="1186"/>
      <c r="AL181" s="1187"/>
    </row>
    <row r="182" spans="1:38" hidden="1" outlineLevel="2" x14ac:dyDescent="0.3">
      <c r="A182" s="1188"/>
      <c r="B182" s="1189" t="s">
        <v>1465</v>
      </c>
      <c r="C182" s="1190"/>
      <c r="D182" s="1191"/>
      <c r="E182" s="1192">
        <v>0</v>
      </c>
      <c r="F182" s="1193"/>
      <c r="G182" s="1193">
        <v>0</v>
      </c>
      <c r="H182" s="1193"/>
      <c r="I182" s="1193">
        <v>0</v>
      </c>
      <c r="J182" s="1193"/>
      <c r="K182" s="1193">
        <v>0</v>
      </c>
      <c r="L182" s="1193"/>
      <c r="M182" s="1193">
        <v>300</v>
      </c>
      <c r="N182" s="1193"/>
      <c r="O182" s="1193">
        <v>500</v>
      </c>
      <c r="P182" s="1193"/>
      <c r="Q182" s="1193">
        <v>200</v>
      </c>
      <c r="R182" s="1193"/>
      <c r="S182" s="1193">
        <v>0</v>
      </c>
      <c r="T182" s="1193"/>
      <c r="U182" s="1193">
        <v>0</v>
      </c>
      <c r="V182" s="1193"/>
      <c r="W182" s="1193">
        <v>0</v>
      </c>
      <c r="X182" s="1193"/>
      <c r="Y182" s="1193">
        <v>0</v>
      </c>
      <c r="Z182" s="1193"/>
      <c r="AA182" s="1193">
        <v>0</v>
      </c>
      <c r="AB182" s="1193"/>
      <c r="AC182" s="1193">
        <v>0</v>
      </c>
      <c r="AD182" s="1193"/>
      <c r="AE182" s="1193">
        <v>0</v>
      </c>
      <c r="AF182" s="1193"/>
      <c r="AG182" s="1193">
        <v>0</v>
      </c>
      <c r="AH182" s="1193"/>
      <c r="AI182" s="1193">
        <v>0</v>
      </c>
      <c r="AJ182" s="1194"/>
      <c r="AK182" s="1194"/>
      <c r="AL182" s="1195"/>
    </row>
    <row r="183" spans="1:38" hidden="1" outlineLevel="2" x14ac:dyDescent="0.3">
      <c r="A183" s="1188"/>
      <c r="B183" s="1189" t="s">
        <v>1466</v>
      </c>
      <c r="C183" s="1190"/>
      <c r="D183" s="1191"/>
      <c r="E183" s="1192">
        <v>0</v>
      </c>
      <c r="F183" s="1193"/>
      <c r="G183" s="1193">
        <v>0</v>
      </c>
      <c r="H183" s="1193"/>
      <c r="I183" s="1193">
        <v>0</v>
      </c>
      <c r="J183" s="1193"/>
      <c r="K183" s="1193">
        <v>0</v>
      </c>
      <c r="L183" s="1193"/>
      <c r="M183" s="1193">
        <v>300</v>
      </c>
      <c r="N183" s="1193"/>
      <c r="O183" s="1193">
        <v>500</v>
      </c>
      <c r="P183" s="1193"/>
      <c r="Q183" s="1193">
        <v>200</v>
      </c>
      <c r="R183" s="1193"/>
      <c r="S183" s="1193">
        <v>0</v>
      </c>
      <c r="T183" s="1193"/>
      <c r="U183" s="1193">
        <v>0</v>
      </c>
      <c r="V183" s="1193"/>
      <c r="W183" s="1193">
        <v>0</v>
      </c>
      <c r="X183" s="1193"/>
      <c r="Y183" s="1193">
        <v>0</v>
      </c>
      <c r="Z183" s="1193"/>
      <c r="AA183" s="1193">
        <v>0</v>
      </c>
      <c r="AB183" s="1193"/>
      <c r="AC183" s="1193">
        <v>0</v>
      </c>
      <c r="AD183" s="1193"/>
      <c r="AE183" s="1193">
        <v>0</v>
      </c>
      <c r="AF183" s="1193"/>
      <c r="AG183" s="1193">
        <v>0</v>
      </c>
      <c r="AH183" s="1193"/>
      <c r="AI183" s="1193">
        <v>0</v>
      </c>
      <c r="AJ183" s="1194"/>
      <c r="AK183" s="1194"/>
      <c r="AL183" s="1195"/>
    </row>
    <row r="184" spans="1:38" hidden="1" outlineLevel="2" x14ac:dyDescent="0.3">
      <c r="A184" s="1188"/>
      <c r="B184" s="1196"/>
      <c r="C184" s="1197"/>
      <c r="D184" s="1198"/>
      <c r="E184" s="1199"/>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c r="AA184" s="1200"/>
      <c r="AB184" s="1200"/>
      <c r="AC184" s="1200"/>
      <c r="AD184" s="1200"/>
      <c r="AE184" s="1200"/>
      <c r="AF184" s="1200"/>
      <c r="AG184" s="1200"/>
      <c r="AH184" s="1200"/>
      <c r="AI184" s="1200"/>
      <c r="AJ184" s="1201"/>
      <c r="AK184" s="1201"/>
      <c r="AL184" s="1202"/>
    </row>
    <row r="185" spans="1:38" hidden="1" outlineLevel="2" x14ac:dyDescent="0.3">
      <c r="A185" s="1188"/>
      <c r="B185" s="1196"/>
      <c r="C185" s="1197"/>
      <c r="D185" s="1198"/>
      <c r="E185" s="1199"/>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c r="AA185" s="1200"/>
      <c r="AB185" s="1200"/>
      <c r="AC185" s="1200"/>
      <c r="AD185" s="1200"/>
      <c r="AE185" s="1200"/>
      <c r="AF185" s="1200"/>
      <c r="AG185" s="1200"/>
      <c r="AH185" s="1200"/>
      <c r="AI185" s="1200"/>
      <c r="AJ185" s="1201"/>
      <c r="AK185" s="1201"/>
      <c r="AL185" s="1202"/>
    </row>
    <row r="186" spans="1:38" hidden="1" outlineLevel="2" x14ac:dyDescent="0.3">
      <c r="A186" s="1188"/>
      <c r="B186" s="1196"/>
      <c r="C186" s="1197"/>
      <c r="D186" s="1198"/>
      <c r="E186" s="1199"/>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c r="AA186" s="1200"/>
      <c r="AB186" s="1200"/>
      <c r="AC186" s="1200"/>
      <c r="AD186" s="1200"/>
      <c r="AE186" s="1200"/>
      <c r="AF186" s="1200"/>
      <c r="AG186" s="1200"/>
      <c r="AH186" s="1200"/>
      <c r="AI186" s="1200"/>
      <c r="AJ186" s="1201"/>
      <c r="AK186" s="1201"/>
      <c r="AL186" s="1202"/>
    </row>
    <row r="187" spans="1:38" hidden="1" outlineLevel="2" x14ac:dyDescent="0.3">
      <c r="A187" s="1188"/>
      <c r="B187" s="1196"/>
      <c r="C187" s="1197"/>
      <c r="D187" s="1198"/>
      <c r="E187" s="1199"/>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c r="AA187" s="1200"/>
      <c r="AB187" s="1200"/>
      <c r="AC187" s="1200"/>
      <c r="AD187" s="1200"/>
      <c r="AE187" s="1200"/>
      <c r="AF187" s="1200"/>
      <c r="AG187" s="1200"/>
      <c r="AH187" s="1200"/>
      <c r="AI187" s="1200"/>
      <c r="AJ187" s="1201"/>
      <c r="AK187" s="1201"/>
      <c r="AL187" s="1202"/>
    </row>
    <row r="188" spans="1:38" hidden="1" outlineLevel="2" x14ac:dyDescent="0.3">
      <c r="A188" s="1188"/>
      <c r="B188" s="1196"/>
      <c r="C188" s="1197"/>
      <c r="D188" s="1198"/>
      <c r="E188" s="1199"/>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c r="AA188" s="1200"/>
      <c r="AB188" s="1200"/>
      <c r="AC188" s="1200"/>
      <c r="AD188" s="1200"/>
      <c r="AE188" s="1200"/>
      <c r="AF188" s="1200"/>
      <c r="AG188" s="1200"/>
      <c r="AH188" s="1200"/>
      <c r="AI188" s="1200"/>
      <c r="AJ188" s="1201"/>
      <c r="AK188" s="1201"/>
      <c r="AL188" s="1202"/>
    </row>
    <row r="189" spans="1:38" ht="15" outlineLevel="1" collapsed="1" thickBot="1" x14ac:dyDescent="0.35">
      <c r="A189" s="1188"/>
      <c r="B189" s="1203" t="s">
        <v>550</v>
      </c>
      <c r="C189" s="1204"/>
      <c r="D189" s="1205"/>
      <c r="E189" s="1206">
        <f>SUBTOTAL(9,E181:E183)</f>
        <v>0</v>
      </c>
      <c r="F189" s="1207"/>
      <c r="G189" s="1207">
        <f>SUBTOTAL(9,G181:G183)</f>
        <v>0</v>
      </c>
      <c r="H189" s="1207"/>
      <c r="I189" s="1207">
        <f>SUBTOTAL(9,I181:I183)</f>
        <v>0</v>
      </c>
      <c r="J189" s="1207"/>
      <c r="K189" s="1207">
        <f>SUBTOTAL(9,K181:K183)</f>
        <v>0</v>
      </c>
      <c r="L189" s="1207"/>
      <c r="M189" s="1207">
        <f>SUBTOTAL(9,M181:M183)</f>
        <v>600</v>
      </c>
      <c r="N189" s="1207"/>
      <c r="O189" s="1207">
        <f>SUBTOTAL(9,O181:O183)</f>
        <v>1000</v>
      </c>
      <c r="P189" s="1207"/>
      <c r="Q189" s="1207">
        <f>SUBTOTAL(9,Q181:Q183)</f>
        <v>400</v>
      </c>
      <c r="R189" s="1207"/>
      <c r="S189" s="1207">
        <f>SUBTOTAL(9,S181:S183)</f>
        <v>0</v>
      </c>
      <c r="T189" s="1207"/>
      <c r="U189" s="1207">
        <f>SUBTOTAL(9,U181:U183)</f>
        <v>0</v>
      </c>
      <c r="V189" s="1207"/>
      <c r="W189" s="1207">
        <f>SUBTOTAL(9,W181:W183)</f>
        <v>0</v>
      </c>
      <c r="X189" s="1207"/>
      <c r="Y189" s="1207">
        <f>SUBTOTAL(9,Y181:Y183)</f>
        <v>0</v>
      </c>
      <c r="Z189" s="1207"/>
      <c r="AA189" s="1207">
        <f>SUBTOTAL(9,AA181:AA183)</f>
        <v>0</v>
      </c>
      <c r="AB189" s="1207"/>
      <c r="AC189" s="1207">
        <f>SUBTOTAL(9,AC181:AC183)</f>
        <v>0</v>
      </c>
      <c r="AD189" s="1207"/>
      <c r="AE189" s="1207">
        <f>SUBTOTAL(9,AE181:AE183)</f>
        <v>0</v>
      </c>
      <c r="AF189" s="1207"/>
      <c r="AG189" s="1207">
        <f>SUBTOTAL(9,AG181:AG183)</f>
        <v>0</v>
      </c>
      <c r="AH189" s="1207"/>
      <c r="AI189" s="1207">
        <f>SUBTOTAL(9,AI181:AI183)</f>
        <v>0</v>
      </c>
      <c r="AJ189" s="1208"/>
      <c r="AK189" s="1208"/>
      <c r="AL189" s="1209"/>
    </row>
    <row r="190" spans="1:38" x14ac:dyDescent="0.3">
      <c r="A190" s="98"/>
      <c r="B190" s="660"/>
      <c r="C190" s="660"/>
      <c r="D190" s="660"/>
      <c r="E190" s="941">
        <f>SUM(E189,E180,E169)</f>
        <v>46150</v>
      </c>
      <c r="F190" s="941"/>
      <c r="G190" s="941">
        <f>SUM(G189,G180,G169)</f>
        <v>200</v>
      </c>
      <c r="H190" s="941"/>
      <c r="I190" s="941">
        <f>SUM(I189,I180,I169)</f>
        <v>500</v>
      </c>
      <c r="J190" s="941"/>
      <c r="K190" s="941">
        <v>9600</v>
      </c>
      <c r="L190" s="941"/>
      <c r="M190" s="941">
        <f>SUM(M189,M180,M169)</f>
        <v>1000</v>
      </c>
      <c r="N190" s="941"/>
      <c r="O190" s="941">
        <f>SUM(O189,O180,O169)</f>
        <v>1500</v>
      </c>
      <c r="P190" s="941"/>
      <c r="Q190" s="941">
        <f>SUM(Q189,Q180,Q169)</f>
        <v>600</v>
      </c>
      <c r="R190" s="941"/>
      <c r="S190" s="941">
        <f>SUM(S189,S180,S169)</f>
        <v>100</v>
      </c>
      <c r="T190" s="941"/>
      <c r="U190" s="941">
        <f>SUM(U189,U180,U169)</f>
        <v>39937.5</v>
      </c>
      <c r="V190" s="941"/>
      <c r="W190" s="941">
        <f>SUM(W189,W180,W169)</f>
        <v>450</v>
      </c>
      <c r="X190" s="941"/>
      <c r="Y190" s="941">
        <f>SUM(Y189,Y180,Y169)</f>
        <v>100</v>
      </c>
      <c r="Z190" s="941"/>
      <c r="AA190" s="941">
        <f>SUM(AA189,AA180,AA169)</f>
        <v>30</v>
      </c>
      <c r="AB190" s="941"/>
      <c r="AC190" s="941">
        <f>SUM(AC189,AC180,AC169)</f>
        <v>160</v>
      </c>
      <c r="AD190" s="941"/>
      <c r="AE190" s="941">
        <f>SUM(AE189,AE180,AE169)</f>
        <v>3825</v>
      </c>
      <c r="AF190" s="941"/>
      <c r="AG190" s="941">
        <f>SUM(AG189,AG180,AG169)</f>
        <v>1439.9999999999989</v>
      </c>
      <c r="AH190" s="941"/>
      <c r="AI190" s="941">
        <f>SUM(AI189,AI180,AI169)</f>
        <v>200</v>
      </c>
      <c r="AJ190" s="941"/>
      <c r="AK190" s="941"/>
      <c r="AL190" s="941">
        <f>SUM(K190:AI190)-SUM(E190:I190)</f>
        <v>12092.5</v>
      </c>
    </row>
    <row r="191" spans="1:38" ht="15.6" x14ac:dyDescent="0.3">
      <c r="B191" s="76"/>
      <c r="C191" s="76"/>
      <c r="D191" s="79"/>
      <c r="E191" s="1112"/>
      <c r="F191" s="1112"/>
      <c r="G191" s="660"/>
      <c r="H191" s="1112"/>
      <c r="I191" s="660"/>
      <c r="J191" s="1112"/>
      <c r="K191" s="660"/>
      <c r="L191" s="1112"/>
      <c r="M191" s="660"/>
      <c r="N191" s="1112"/>
      <c r="O191" s="660"/>
      <c r="P191" s="1112"/>
      <c r="Q191" s="660"/>
      <c r="R191" s="1112"/>
      <c r="S191" s="660"/>
      <c r="T191" s="1112"/>
      <c r="U191" s="660"/>
      <c r="V191" s="1112"/>
      <c r="W191" s="660"/>
      <c r="X191" s="1112"/>
      <c r="Y191" s="660"/>
      <c r="Z191" s="1112"/>
      <c r="AA191" s="660"/>
      <c r="AB191" s="1112"/>
      <c r="AC191" s="660"/>
      <c r="AD191" s="1112"/>
      <c r="AE191" s="660"/>
      <c r="AF191" s="1112"/>
      <c r="AG191" s="660"/>
      <c r="AH191" s="1112"/>
      <c r="AI191" s="660"/>
      <c r="AJ191" s="660"/>
      <c r="AK191" s="1108"/>
      <c r="AL191" s="1106"/>
    </row>
    <row r="192" spans="1:38" ht="18" x14ac:dyDescent="0.3">
      <c r="A192" s="1110" t="s">
        <v>1468</v>
      </c>
      <c r="B192" s="1111"/>
      <c r="C192" s="1111"/>
      <c r="D192" s="1111"/>
      <c r="E192" s="1112"/>
      <c r="F192" s="1112"/>
      <c r="G192" s="660"/>
      <c r="H192" s="660"/>
      <c r="I192" s="660"/>
      <c r="J192" s="660"/>
      <c r="K192" s="660"/>
      <c r="L192" s="660"/>
      <c r="M192" s="660"/>
      <c r="N192" s="660"/>
      <c r="O192" s="660"/>
      <c r="P192" s="660"/>
      <c r="Q192" s="660"/>
      <c r="R192" s="660"/>
      <c r="S192" s="660"/>
      <c r="T192" s="660"/>
      <c r="U192" s="660"/>
      <c r="V192" s="660"/>
      <c r="W192" s="660"/>
      <c r="X192" s="660"/>
      <c r="Y192" s="660"/>
      <c r="Z192" s="660"/>
      <c r="AA192" s="660"/>
      <c r="AB192" s="660"/>
      <c r="AC192" s="660"/>
      <c r="AD192" s="660"/>
      <c r="AE192" s="660"/>
      <c r="AF192" s="660"/>
      <c r="AG192" s="660"/>
      <c r="AH192" s="660"/>
      <c r="AI192" s="660"/>
      <c r="AJ192" s="660"/>
      <c r="AK192" s="660"/>
    </row>
    <row r="193" spans="1:38" ht="15" thickBot="1" x14ac:dyDescent="0.35">
      <c r="A193" s="39"/>
      <c r="B193" s="1113"/>
      <c r="C193" s="1113"/>
      <c r="D193" s="1114" t="s">
        <v>1407</v>
      </c>
      <c r="E193" s="1115" t="s">
        <v>69</v>
      </c>
      <c r="F193" s="1116" t="s">
        <v>8</v>
      </c>
      <c r="G193" s="1115" t="s">
        <v>83</v>
      </c>
      <c r="H193" s="1116" t="s">
        <v>8</v>
      </c>
      <c r="I193" s="1115" t="s">
        <v>90</v>
      </c>
      <c r="J193" s="1116" t="s">
        <v>8</v>
      </c>
      <c r="K193" s="1117" t="s">
        <v>134</v>
      </c>
      <c r="L193" s="1118" t="s">
        <v>8</v>
      </c>
      <c r="M193" s="1117" t="s">
        <v>136</v>
      </c>
      <c r="N193" s="1118" t="s">
        <v>8</v>
      </c>
      <c r="O193" s="1117" t="s">
        <v>728</v>
      </c>
      <c r="P193" s="1118" t="s">
        <v>8</v>
      </c>
      <c r="Q193" s="1117" t="s">
        <v>266</v>
      </c>
      <c r="R193" s="1118" t="s">
        <v>8</v>
      </c>
      <c r="S193" s="1117" t="s">
        <v>292</v>
      </c>
      <c r="T193" s="1118" t="s">
        <v>8</v>
      </c>
      <c r="U193" s="1117" t="s">
        <v>335</v>
      </c>
      <c r="V193" s="1118" t="s">
        <v>8</v>
      </c>
      <c r="W193" s="1117" t="s">
        <v>346</v>
      </c>
      <c r="X193" s="1118" t="s">
        <v>8</v>
      </c>
      <c r="Y193" s="1117" t="s">
        <v>357</v>
      </c>
      <c r="Z193" s="1118" t="s">
        <v>8</v>
      </c>
      <c r="AA193" s="1117" t="s">
        <v>364</v>
      </c>
      <c r="AB193" s="1118" t="s">
        <v>8</v>
      </c>
      <c r="AC193" s="1117" t="s">
        <v>376</v>
      </c>
      <c r="AD193" s="1118" t="s">
        <v>8</v>
      </c>
      <c r="AE193" s="1117" t="s">
        <v>386</v>
      </c>
      <c r="AF193" s="1118" t="s">
        <v>8</v>
      </c>
      <c r="AG193" s="1117" t="s">
        <v>398</v>
      </c>
      <c r="AH193" s="1118" t="s">
        <v>8</v>
      </c>
      <c r="AI193" s="1117" t="s">
        <v>424</v>
      </c>
      <c r="AJ193" s="1119" t="s">
        <v>8</v>
      </c>
      <c r="AK193" s="1120" t="s">
        <v>1404</v>
      </c>
      <c r="AL193" s="1121" t="s">
        <v>1405</v>
      </c>
    </row>
    <row r="194" spans="1:38" s="39" customFormat="1" ht="21" customHeight="1" outlineLevel="1" x14ac:dyDescent="0.35">
      <c r="A194" s="1122" t="s">
        <v>1223</v>
      </c>
      <c r="B194" s="1123" t="s">
        <v>625</v>
      </c>
      <c r="C194" s="1124" t="s">
        <v>1408</v>
      </c>
      <c r="D194" s="1125" t="s">
        <v>1409</v>
      </c>
      <c r="E194" s="1126"/>
      <c r="F194" s="1127"/>
      <c r="G194" s="1127"/>
      <c r="H194" s="1127"/>
      <c r="I194" s="1127"/>
      <c r="J194" s="1127"/>
      <c r="K194" s="1127"/>
      <c r="L194" s="1127"/>
      <c r="M194" s="1127"/>
      <c r="N194" s="1127"/>
      <c r="O194" s="1127"/>
      <c r="P194" s="1127"/>
      <c r="Q194" s="1127"/>
      <c r="R194" s="1127"/>
      <c r="S194" s="1127"/>
      <c r="T194" s="1127"/>
      <c r="U194" s="1127"/>
      <c r="V194" s="1127"/>
      <c r="W194" s="1127"/>
      <c r="X194" s="1127"/>
      <c r="Y194" s="1127"/>
      <c r="Z194" s="1127"/>
      <c r="AA194" s="1127"/>
      <c r="AB194" s="1127"/>
      <c r="AC194" s="1127"/>
      <c r="AD194" s="1127"/>
      <c r="AE194" s="1127"/>
      <c r="AF194" s="1127"/>
      <c r="AG194" s="1127"/>
      <c r="AH194" s="1127"/>
      <c r="AI194" s="1127"/>
      <c r="AJ194" s="1128"/>
      <c r="AK194" s="1128"/>
      <c r="AL194" s="1129"/>
    </row>
    <row r="195" spans="1:38" ht="41.4" hidden="1" outlineLevel="2" x14ac:dyDescent="0.3">
      <c r="A195" s="1130"/>
      <c r="B195" s="1131" t="s">
        <v>1410</v>
      </c>
      <c r="C195" s="1132"/>
      <c r="D195" s="1133"/>
      <c r="E195" s="1134"/>
      <c r="F195" s="1135"/>
      <c r="G195" s="1135"/>
      <c r="H195" s="1135"/>
      <c r="I195" s="1135"/>
      <c r="J195" s="1135"/>
      <c r="K195" s="1135"/>
      <c r="L195" s="1135"/>
      <c r="M195" s="1135"/>
      <c r="N195" s="1135"/>
      <c r="O195" s="1135"/>
      <c r="P195" s="1135"/>
      <c r="Q195" s="1135"/>
      <c r="R195" s="1135"/>
      <c r="S195" s="1135"/>
      <c r="T195" s="1135"/>
      <c r="U195" s="1135">
        <v>40000</v>
      </c>
      <c r="V195" s="1135"/>
      <c r="W195" s="1135"/>
      <c r="X195" s="1135"/>
      <c r="Y195" s="1135"/>
      <c r="Z195" s="1135"/>
      <c r="AA195" s="1135"/>
      <c r="AB195" s="1135"/>
      <c r="AC195" s="1135"/>
      <c r="AD195" s="1135"/>
      <c r="AE195" s="1135">
        <f>18.5*3*50</f>
        <v>2775</v>
      </c>
      <c r="AF195" s="1135"/>
      <c r="AG195" s="1135">
        <v>1340</v>
      </c>
      <c r="AH195" s="1135"/>
      <c r="AI195" s="1135">
        <v>0</v>
      </c>
      <c r="AJ195" s="1136"/>
      <c r="AK195" s="1136"/>
      <c r="AL195" s="1137"/>
    </row>
    <row r="196" spans="1:38" ht="42" hidden="1" customHeight="1" outlineLevel="2" x14ac:dyDescent="0.3">
      <c r="A196" s="1130"/>
      <c r="B196" s="1131" t="s">
        <v>1411</v>
      </c>
      <c r="C196" s="1132" t="s">
        <v>1412</v>
      </c>
      <c r="D196" s="1133" t="s">
        <v>1413</v>
      </c>
      <c r="E196" s="1134">
        <f>46150/50</f>
        <v>923</v>
      </c>
      <c r="F196" s="1135">
        <v>399.2</v>
      </c>
      <c r="G196" s="1135">
        <v>0</v>
      </c>
      <c r="H196" s="1135">
        <v>0</v>
      </c>
      <c r="I196" s="1135">
        <v>0</v>
      </c>
      <c r="J196" s="1135">
        <v>0</v>
      </c>
      <c r="K196" s="1135">
        <f>1800/50</f>
        <v>36</v>
      </c>
      <c r="L196" s="1135">
        <v>0</v>
      </c>
      <c r="M196" s="1135">
        <v>0</v>
      </c>
      <c r="N196" s="1135">
        <v>0</v>
      </c>
      <c r="O196" s="1135">
        <v>0</v>
      </c>
      <c r="P196" s="1135">
        <v>0</v>
      </c>
      <c r="Q196" s="1135">
        <v>0</v>
      </c>
      <c r="R196" s="1135">
        <v>0</v>
      </c>
      <c r="S196" s="1135">
        <v>0</v>
      </c>
      <c r="T196" s="1135">
        <v>0</v>
      </c>
      <c r="U196" s="1135">
        <f t="shared" ref="U196:U245" si="18">$U$195/50</f>
        <v>800</v>
      </c>
      <c r="V196" s="1135">
        <v>0</v>
      </c>
      <c r="W196" s="1135">
        <v>0</v>
      </c>
      <c r="X196" s="1135">
        <v>0</v>
      </c>
      <c r="Y196" s="1135">
        <v>0</v>
      </c>
      <c r="Z196" s="1135">
        <v>0</v>
      </c>
      <c r="AA196" s="1135">
        <v>0</v>
      </c>
      <c r="AB196" s="1135">
        <v>0</v>
      </c>
      <c r="AC196" s="1135">
        <v>0</v>
      </c>
      <c r="AD196" s="1135">
        <v>0</v>
      </c>
      <c r="AE196" s="1135">
        <f>18.5*3</f>
        <v>55.5</v>
      </c>
      <c r="AF196" s="1135">
        <v>0</v>
      </c>
      <c r="AG196" s="1135">
        <f>1340/50</f>
        <v>26.8</v>
      </c>
      <c r="AH196" s="1135">
        <v>0</v>
      </c>
      <c r="AI196" s="1135">
        <v>0</v>
      </c>
      <c r="AJ196" s="1136"/>
      <c r="AK196" s="1137">
        <f t="shared" ref="AK196:AL227" si="19">SUM(E196,G196,I196)-SUM(K196,M196,O196,Q196,S196,U196,W196,Y196,AA196,AC196,AE196,AG196,AI196)</f>
        <v>4.7000000000000455</v>
      </c>
      <c r="AL196" s="1137">
        <f t="shared" si="19"/>
        <v>399.2</v>
      </c>
    </row>
    <row r="197" spans="1:38" ht="27.6" hidden="1" outlineLevel="2" x14ac:dyDescent="0.3">
      <c r="A197" s="1130"/>
      <c r="B197" s="1131" t="s">
        <v>1414</v>
      </c>
      <c r="C197" s="1132" t="s">
        <v>1415</v>
      </c>
      <c r="D197" s="1133" t="s">
        <v>1416</v>
      </c>
      <c r="E197" s="1134">
        <f t="shared" ref="E197:E245" si="20">46150/50</f>
        <v>923</v>
      </c>
      <c r="F197" s="1135">
        <v>199.6</v>
      </c>
      <c r="G197" s="1135">
        <v>0</v>
      </c>
      <c r="H197" s="1135">
        <v>0</v>
      </c>
      <c r="I197" s="1135">
        <v>0</v>
      </c>
      <c r="J197" s="1135">
        <v>0</v>
      </c>
      <c r="K197" s="1135">
        <f t="shared" ref="K197:K245" si="21">1800/50</f>
        <v>36</v>
      </c>
      <c r="L197" s="1135">
        <v>0</v>
      </c>
      <c r="M197" s="1135">
        <v>0</v>
      </c>
      <c r="N197" s="1135">
        <v>0</v>
      </c>
      <c r="O197" s="1135">
        <v>0</v>
      </c>
      <c r="P197" s="1135">
        <v>0</v>
      </c>
      <c r="Q197" s="1135">
        <v>0</v>
      </c>
      <c r="R197" s="1135">
        <v>0</v>
      </c>
      <c r="S197" s="1135">
        <v>0</v>
      </c>
      <c r="T197" s="1135">
        <v>0</v>
      </c>
      <c r="U197" s="1135">
        <f t="shared" si="18"/>
        <v>800</v>
      </c>
      <c r="V197" s="1135">
        <v>0</v>
      </c>
      <c r="W197" s="1135">
        <v>0</v>
      </c>
      <c r="X197" s="1135">
        <v>0</v>
      </c>
      <c r="Y197" s="1135">
        <v>0</v>
      </c>
      <c r="Z197" s="1135">
        <v>0</v>
      </c>
      <c r="AA197" s="1135">
        <v>0</v>
      </c>
      <c r="AB197" s="1135">
        <v>0</v>
      </c>
      <c r="AC197" s="1135">
        <v>0</v>
      </c>
      <c r="AD197" s="1135">
        <v>0</v>
      </c>
      <c r="AE197" s="1135">
        <f t="shared" ref="AE197:AE245" si="22">18.5*3</f>
        <v>55.5</v>
      </c>
      <c r="AF197" s="1135">
        <v>0</v>
      </c>
      <c r="AG197" s="1135">
        <f t="shared" ref="AG197:AG245" si="23">1340/50</f>
        <v>26.8</v>
      </c>
      <c r="AH197" s="1135">
        <v>0</v>
      </c>
      <c r="AI197" s="1135">
        <v>0</v>
      </c>
      <c r="AJ197" s="1136"/>
      <c r="AK197" s="1137">
        <f t="shared" si="19"/>
        <v>4.7000000000000455</v>
      </c>
      <c r="AL197" s="1137">
        <f t="shared" si="19"/>
        <v>199.6</v>
      </c>
    </row>
    <row r="198" spans="1:38" hidden="1" outlineLevel="2" x14ac:dyDescent="0.3">
      <c r="A198" s="1130"/>
      <c r="B198" s="1138" t="s">
        <v>1417</v>
      </c>
      <c r="C198" s="1139" t="s">
        <v>1418</v>
      </c>
      <c r="D198" s="1140" t="s">
        <v>1413</v>
      </c>
      <c r="E198" s="1134">
        <f t="shared" si="20"/>
        <v>923</v>
      </c>
      <c r="F198" s="1141">
        <v>199.6</v>
      </c>
      <c r="G198" s="1141"/>
      <c r="H198" s="1141"/>
      <c r="I198" s="1141"/>
      <c r="J198" s="1141"/>
      <c r="K198" s="1135">
        <f t="shared" si="21"/>
        <v>36</v>
      </c>
      <c r="L198" s="1141"/>
      <c r="M198" s="1141"/>
      <c r="N198" s="1141"/>
      <c r="O198" s="1141"/>
      <c r="P198" s="1141"/>
      <c r="Q198" s="1141"/>
      <c r="R198" s="1141"/>
      <c r="S198" s="1141"/>
      <c r="T198" s="1141"/>
      <c r="U198" s="1135">
        <f t="shared" si="18"/>
        <v>800</v>
      </c>
      <c r="V198" s="1141"/>
      <c r="W198" s="1141"/>
      <c r="X198" s="1141"/>
      <c r="Y198" s="1141"/>
      <c r="Z198" s="1141"/>
      <c r="AA198" s="1141"/>
      <c r="AB198" s="1141"/>
      <c r="AC198" s="1141"/>
      <c r="AD198" s="1141"/>
      <c r="AE198" s="1135">
        <f t="shared" si="22"/>
        <v>55.5</v>
      </c>
      <c r="AF198" s="1141"/>
      <c r="AG198" s="1135">
        <f t="shared" si="23"/>
        <v>26.8</v>
      </c>
      <c r="AH198" s="1141"/>
      <c r="AI198" s="1141"/>
      <c r="AJ198" s="1142"/>
      <c r="AK198" s="1137">
        <f t="shared" si="19"/>
        <v>4.7000000000000455</v>
      </c>
      <c r="AL198" s="1137">
        <f t="shared" si="19"/>
        <v>199.6</v>
      </c>
    </row>
    <row r="199" spans="1:38" hidden="1" outlineLevel="2" x14ac:dyDescent="0.3">
      <c r="A199" s="1130"/>
      <c r="B199" s="1138" t="s">
        <v>1419</v>
      </c>
      <c r="C199" s="1139" t="s">
        <v>1420</v>
      </c>
      <c r="D199" s="1140" t="s">
        <v>1421</v>
      </c>
      <c r="E199" s="1134">
        <f t="shared" si="20"/>
        <v>923</v>
      </c>
      <c r="F199" s="1141">
        <v>449.09999999999997</v>
      </c>
      <c r="G199" s="1141"/>
      <c r="H199" s="1141"/>
      <c r="I199" s="1141"/>
      <c r="J199" s="1141"/>
      <c r="K199" s="1135">
        <f t="shared" si="21"/>
        <v>36</v>
      </c>
      <c r="L199" s="1141"/>
      <c r="M199" s="1141"/>
      <c r="N199" s="1141"/>
      <c r="O199" s="1141"/>
      <c r="P199" s="1141"/>
      <c r="Q199" s="1141"/>
      <c r="R199" s="1141"/>
      <c r="S199" s="1141"/>
      <c r="T199" s="1141"/>
      <c r="U199" s="1135">
        <f t="shared" si="18"/>
        <v>800</v>
      </c>
      <c r="V199" s="1141"/>
      <c r="W199" s="1141"/>
      <c r="X199" s="1141"/>
      <c r="Y199" s="1141"/>
      <c r="Z199" s="1141"/>
      <c r="AA199" s="1141"/>
      <c r="AB199" s="1141"/>
      <c r="AC199" s="1141"/>
      <c r="AD199" s="1141"/>
      <c r="AE199" s="1135">
        <f t="shared" si="22"/>
        <v>55.5</v>
      </c>
      <c r="AF199" s="1141"/>
      <c r="AG199" s="1135">
        <f t="shared" si="23"/>
        <v>26.8</v>
      </c>
      <c r="AH199" s="1141"/>
      <c r="AI199" s="1141"/>
      <c r="AJ199" s="1142"/>
      <c r="AK199" s="1137">
        <f t="shared" si="19"/>
        <v>4.7000000000000455</v>
      </c>
      <c r="AL199" s="1137">
        <f t="shared" si="19"/>
        <v>449.09999999999997</v>
      </c>
    </row>
    <row r="200" spans="1:38" hidden="1" outlineLevel="2" x14ac:dyDescent="0.3">
      <c r="A200" s="1130"/>
      <c r="B200" s="1138" t="s">
        <v>1422</v>
      </c>
      <c r="C200" s="1139" t="s">
        <v>1420</v>
      </c>
      <c r="D200" s="1140" t="s">
        <v>1413</v>
      </c>
      <c r="E200" s="1134">
        <f t="shared" si="20"/>
        <v>923</v>
      </c>
      <c r="F200" s="1141">
        <v>249.5</v>
      </c>
      <c r="G200" s="1141"/>
      <c r="H200" s="1141"/>
      <c r="I200" s="1141"/>
      <c r="J200" s="1141"/>
      <c r="K200" s="1135">
        <f t="shared" si="21"/>
        <v>36</v>
      </c>
      <c r="L200" s="1141"/>
      <c r="M200" s="1141"/>
      <c r="N200" s="1141"/>
      <c r="O200" s="1141"/>
      <c r="P200" s="1141"/>
      <c r="Q200" s="1141"/>
      <c r="R200" s="1141"/>
      <c r="S200" s="1141"/>
      <c r="T200" s="1141"/>
      <c r="U200" s="1135">
        <f t="shared" si="18"/>
        <v>800</v>
      </c>
      <c r="V200" s="1141"/>
      <c r="W200" s="1141"/>
      <c r="X200" s="1141"/>
      <c r="Y200" s="1141"/>
      <c r="Z200" s="1141"/>
      <c r="AA200" s="1141"/>
      <c r="AB200" s="1141"/>
      <c r="AC200" s="1141"/>
      <c r="AD200" s="1141"/>
      <c r="AE200" s="1135">
        <f t="shared" si="22"/>
        <v>55.5</v>
      </c>
      <c r="AF200" s="1141"/>
      <c r="AG200" s="1135">
        <f t="shared" si="23"/>
        <v>26.8</v>
      </c>
      <c r="AH200" s="1141"/>
      <c r="AI200" s="1141"/>
      <c r="AJ200" s="1142"/>
      <c r="AK200" s="1137">
        <f t="shared" si="19"/>
        <v>4.7000000000000455</v>
      </c>
      <c r="AL200" s="1137">
        <f t="shared" si="19"/>
        <v>249.5</v>
      </c>
    </row>
    <row r="201" spans="1:38" hidden="1" outlineLevel="2" x14ac:dyDescent="0.3">
      <c r="A201" s="1130"/>
      <c r="B201" s="1138" t="s">
        <v>1423</v>
      </c>
      <c r="C201" s="1139" t="s">
        <v>1424</v>
      </c>
      <c r="D201" s="1140" t="s">
        <v>1425</v>
      </c>
      <c r="E201" s="1134">
        <f t="shared" si="20"/>
        <v>923</v>
      </c>
      <c r="F201" s="1141">
        <v>399.2</v>
      </c>
      <c r="G201" s="1141"/>
      <c r="H201" s="1141"/>
      <c r="I201" s="1141"/>
      <c r="J201" s="1141"/>
      <c r="K201" s="1135">
        <f t="shared" si="21"/>
        <v>36</v>
      </c>
      <c r="L201" s="1141"/>
      <c r="M201" s="1141"/>
      <c r="N201" s="1141"/>
      <c r="O201" s="1141"/>
      <c r="P201" s="1141"/>
      <c r="Q201" s="1141"/>
      <c r="R201" s="1141"/>
      <c r="S201" s="1141"/>
      <c r="T201" s="1141"/>
      <c r="U201" s="1135">
        <f t="shared" si="18"/>
        <v>800</v>
      </c>
      <c r="V201" s="1141"/>
      <c r="W201" s="1141"/>
      <c r="X201" s="1141"/>
      <c r="Y201" s="1141"/>
      <c r="Z201" s="1141"/>
      <c r="AA201" s="1141"/>
      <c r="AB201" s="1141"/>
      <c r="AC201" s="1141"/>
      <c r="AD201" s="1141"/>
      <c r="AE201" s="1135">
        <f t="shared" si="22"/>
        <v>55.5</v>
      </c>
      <c r="AF201" s="1141"/>
      <c r="AG201" s="1135">
        <f t="shared" si="23"/>
        <v>26.8</v>
      </c>
      <c r="AH201" s="1141"/>
      <c r="AI201" s="1141"/>
      <c r="AJ201" s="1142"/>
      <c r="AK201" s="1137">
        <f t="shared" si="19"/>
        <v>4.7000000000000455</v>
      </c>
      <c r="AL201" s="1137">
        <f t="shared" si="19"/>
        <v>399.2</v>
      </c>
    </row>
    <row r="202" spans="1:38" ht="27.6" hidden="1" outlineLevel="2" x14ac:dyDescent="0.3">
      <c r="A202" s="1130"/>
      <c r="B202" s="1138" t="s">
        <v>1426</v>
      </c>
      <c r="C202" s="1139" t="s">
        <v>1424</v>
      </c>
      <c r="D202" s="1140" t="s">
        <v>1427</v>
      </c>
      <c r="E202" s="1134">
        <f t="shared" si="20"/>
        <v>923</v>
      </c>
      <c r="F202" s="1141">
        <v>249.5</v>
      </c>
      <c r="G202" s="1141"/>
      <c r="H202" s="1141"/>
      <c r="I202" s="1141"/>
      <c r="J202" s="1141"/>
      <c r="K202" s="1135">
        <f t="shared" si="21"/>
        <v>36</v>
      </c>
      <c r="L202" s="1141"/>
      <c r="M202" s="1141"/>
      <c r="N202" s="1141"/>
      <c r="O202" s="1141"/>
      <c r="P202" s="1141"/>
      <c r="Q202" s="1141"/>
      <c r="R202" s="1141"/>
      <c r="S202" s="1141"/>
      <c r="T202" s="1141"/>
      <c r="U202" s="1135">
        <f t="shared" si="18"/>
        <v>800</v>
      </c>
      <c r="V202" s="1141"/>
      <c r="W202" s="1141"/>
      <c r="X202" s="1141"/>
      <c r="Y202" s="1141"/>
      <c r="Z202" s="1141"/>
      <c r="AA202" s="1141"/>
      <c r="AB202" s="1141"/>
      <c r="AC202" s="1141"/>
      <c r="AD202" s="1141"/>
      <c r="AE202" s="1135">
        <f t="shared" si="22"/>
        <v>55.5</v>
      </c>
      <c r="AF202" s="1141"/>
      <c r="AG202" s="1135">
        <f t="shared" si="23"/>
        <v>26.8</v>
      </c>
      <c r="AH202" s="1141"/>
      <c r="AI202" s="1141"/>
      <c r="AJ202" s="1142"/>
      <c r="AK202" s="1137">
        <f t="shared" si="19"/>
        <v>4.7000000000000455</v>
      </c>
      <c r="AL202" s="1137">
        <f t="shared" si="19"/>
        <v>249.5</v>
      </c>
    </row>
    <row r="203" spans="1:38" hidden="1" outlineLevel="2" x14ac:dyDescent="0.3">
      <c r="A203" s="1130"/>
      <c r="B203" s="1138" t="s">
        <v>1428</v>
      </c>
      <c r="C203" s="1139" t="s">
        <v>1424</v>
      </c>
      <c r="D203" s="1140" t="s">
        <v>1421</v>
      </c>
      <c r="E203" s="1134">
        <f t="shared" si="20"/>
        <v>923</v>
      </c>
      <c r="F203" s="1141">
        <v>249.5</v>
      </c>
      <c r="G203" s="1141"/>
      <c r="H203" s="1141"/>
      <c r="I203" s="1141"/>
      <c r="J203" s="1141"/>
      <c r="K203" s="1135">
        <f t="shared" si="21"/>
        <v>36</v>
      </c>
      <c r="L203" s="1141"/>
      <c r="M203" s="1141"/>
      <c r="N203" s="1141"/>
      <c r="O203" s="1141"/>
      <c r="P203" s="1141"/>
      <c r="Q203" s="1141"/>
      <c r="R203" s="1141"/>
      <c r="S203" s="1141"/>
      <c r="T203" s="1141"/>
      <c r="U203" s="1135">
        <f t="shared" si="18"/>
        <v>800</v>
      </c>
      <c r="V203" s="1141"/>
      <c r="W203" s="1141"/>
      <c r="X203" s="1141"/>
      <c r="Y203" s="1141"/>
      <c r="Z203" s="1141"/>
      <c r="AA203" s="1141"/>
      <c r="AB203" s="1141"/>
      <c r="AC203" s="1141"/>
      <c r="AD203" s="1141"/>
      <c r="AE203" s="1135">
        <f t="shared" si="22"/>
        <v>55.5</v>
      </c>
      <c r="AF203" s="1141"/>
      <c r="AG203" s="1135">
        <f t="shared" si="23"/>
        <v>26.8</v>
      </c>
      <c r="AH203" s="1141"/>
      <c r="AI203" s="1141"/>
      <c r="AJ203" s="1142"/>
      <c r="AK203" s="1137">
        <f t="shared" si="19"/>
        <v>4.7000000000000455</v>
      </c>
      <c r="AL203" s="1137">
        <f t="shared" si="19"/>
        <v>249.5</v>
      </c>
    </row>
    <row r="204" spans="1:38" ht="27.6" hidden="1" outlineLevel="2" x14ac:dyDescent="0.3">
      <c r="A204" s="1130"/>
      <c r="B204" s="1138" t="s">
        <v>1429</v>
      </c>
      <c r="C204" s="1139" t="s">
        <v>1430</v>
      </c>
      <c r="D204" s="1140" t="s">
        <v>1431</v>
      </c>
      <c r="E204" s="1134">
        <f t="shared" si="20"/>
        <v>923</v>
      </c>
      <c r="F204" s="1141">
        <v>399.2</v>
      </c>
      <c r="G204" s="1141"/>
      <c r="H204" s="1141"/>
      <c r="I204" s="1141"/>
      <c r="J204" s="1141"/>
      <c r="K204" s="1135">
        <f t="shared" si="21"/>
        <v>36</v>
      </c>
      <c r="L204" s="1141"/>
      <c r="M204" s="1141"/>
      <c r="N204" s="1141"/>
      <c r="O204" s="1141"/>
      <c r="P204" s="1141"/>
      <c r="Q204" s="1141"/>
      <c r="R204" s="1141"/>
      <c r="S204" s="1141"/>
      <c r="T204" s="1141"/>
      <c r="U204" s="1135">
        <f t="shared" si="18"/>
        <v>800</v>
      </c>
      <c r="V204" s="1141"/>
      <c r="W204" s="1141"/>
      <c r="X204" s="1141"/>
      <c r="Y204" s="1141"/>
      <c r="Z204" s="1141"/>
      <c r="AA204" s="1141"/>
      <c r="AB204" s="1141"/>
      <c r="AC204" s="1141"/>
      <c r="AD204" s="1141"/>
      <c r="AE204" s="1135">
        <f t="shared" si="22"/>
        <v>55.5</v>
      </c>
      <c r="AF204" s="1141"/>
      <c r="AG204" s="1135">
        <f t="shared" si="23"/>
        <v>26.8</v>
      </c>
      <c r="AH204" s="1141"/>
      <c r="AI204" s="1141"/>
      <c r="AJ204" s="1142"/>
      <c r="AK204" s="1137">
        <f t="shared" si="19"/>
        <v>4.7000000000000455</v>
      </c>
      <c r="AL204" s="1137">
        <f t="shared" si="19"/>
        <v>399.2</v>
      </c>
    </row>
    <row r="205" spans="1:38" ht="27.6" hidden="1" outlineLevel="2" x14ac:dyDescent="0.3">
      <c r="A205" s="1130"/>
      <c r="B205" s="1138" t="s">
        <v>1432</v>
      </c>
      <c r="C205" s="1139" t="s">
        <v>1433</v>
      </c>
      <c r="D205" s="1140" t="s">
        <v>1413</v>
      </c>
      <c r="E205" s="1134">
        <f t="shared" si="20"/>
        <v>923</v>
      </c>
      <c r="F205" s="1141">
        <v>99.8</v>
      </c>
      <c r="G205" s="1141"/>
      <c r="H205" s="1141"/>
      <c r="I205" s="1141"/>
      <c r="J205" s="1141"/>
      <c r="K205" s="1135">
        <f t="shared" si="21"/>
        <v>36</v>
      </c>
      <c r="L205" s="1141"/>
      <c r="M205" s="1141"/>
      <c r="N205" s="1141"/>
      <c r="O205" s="1141"/>
      <c r="P205" s="1141"/>
      <c r="Q205" s="1141"/>
      <c r="R205" s="1141"/>
      <c r="S205" s="1141"/>
      <c r="T205" s="1141"/>
      <c r="U205" s="1135">
        <f t="shared" si="18"/>
        <v>800</v>
      </c>
      <c r="V205" s="1141"/>
      <c r="W205" s="1141"/>
      <c r="X205" s="1141"/>
      <c r="Y205" s="1141"/>
      <c r="Z205" s="1141"/>
      <c r="AA205" s="1141"/>
      <c r="AB205" s="1141"/>
      <c r="AC205" s="1141"/>
      <c r="AD205" s="1141"/>
      <c r="AE205" s="1135">
        <f t="shared" si="22"/>
        <v>55.5</v>
      </c>
      <c r="AF205" s="1141"/>
      <c r="AG205" s="1135">
        <f t="shared" si="23"/>
        <v>26.8</v>
      </c>
      <c r="AH205" s="1141"/>
      <c r="AI205" s="1141"/>
      <c r="AJ205" s="1142"/>
      <c r="AK205" s="1137">
        <f t="shared" si="19"/>
        <v>4.7000000000000455</v>
      </c>
      <c r="AL205" s="1137">
        <f t="shared" si="19"/>
        <v>99.8</v>
      </c>
    </row>
    <row r="206" spans="1:38" ht="27.6" hidden="1" outlineLevel="2" x14ac:dyDescent="0.3">
      <c r="A206" s="1130"/>
      <c r="B206" s="1138" t="s">
        <v>1434</v>
      </c>
      <c r="C206" s="1139" t="s">
        <v>1435</v>
      </c>
      <c r="D206" s="1140" t="s">
        <v>1436</v>
      </c>
      <c r="E206" s="1134">
        <f t="shared" si="20"/>
        <v>923</v>
      </c>
      <c r="F206" s="1141">
        <v>499</v>
      </c>
      <c r="G206" s="1141"/>
      <c r="H206" s="1141"/>
      <c r="I206" s="1141"/>
      <c r="J206" s="1141"/>
      <c r="K206" s="1135">
        <f t="shared" si="21"/>
        <v>36</v>
      </c>
      <c r="L206" s="1141"/>
      <c r="M206" s="1141"/>
      <c r="N206" s="1141"/>
      <c r="O206" s="1141"/>
      <c r="P206" s="1141"/>
      <c r="Q206" s="1141"/>
      <c r="R206" s="1141"/>
      <c r="S206" s="1141"/>
      <c r="T206" s="1141"/>
      <c r="U206" s="1135">
        <f t="shared" si="18"/>
        <v>800</v>
      </c>
      <c r="V206" s="1141"/>
      <c r="W206" s="1141"/>
      <c r="X206" s="1141"/>
      <c r="Y206" s="1141"/>
      <c r="Z206" s="1141"/>
      <c r="AA206" s="1141"/>
      <c r="AB206" s="1141"/>
      <c r="AC206" s="1141"/>
      <c r="AD206" s="1141"/>
      <c r="AE206" s="1135">
        <f t="shared" si="22"/>
        <v>55.5</v>
      </c>
      <c r="AF206" s="1141"/>
      <c r="AG206" s="1135">
        <f t="shared" si="23"/>
        <v>26.8</v>
      </c>
      <c r="AH206" s="1141"/>
      <c r="AI206" s="1141"/>
      <c r="AJ206" s="1142"/>
      <c r="AK206" s="1137">
        <f t="shared" si="19"/>
        <v>4.7000000000000455</v>
      </c>
      <c r="AL206" s="1137">
        <f t="shared" si="19"/>
        <v>499</v>
      </c>
    </row>
    <row r="207" spans="1:38" ht="27.6" hidden="1" outlineLevel="2" x14ac:dyDescent="0.3">
      <c r="A207" s="1130"/>
      <c r="B207" s="1138" t="s">
        <v>1437</v>
      </c>
      <c r="C207" s="1139" t="s">
        <v>1435</v>
      </c>
      <c r="D207" s="1140" t="s">
        <v>1425</v>
      </c>
      <c r="E207" s="1134">
        <f t="shared" si="20"/>
        <v>923</v>
      </c>
      <c r="F207" s="1141">
        <v>149.69999999999999</v>
      </c>
      <c r="G207" s="1141"/>
      <c r="H207" s="1141"/>
      <c r="I207" s="1141"/>
      <c r="J207" s="1141"/>
      <c r="K207" s="1135">
        <f t="shared" si="21"/>
        <v>36</v>
      </c>
      <c r="L207" s="1141"/>
      <c r="M207" s="1141"/>
      <c r="N207" s="1141"/>
      <c r="O207" s="1141"/>
      <c r="P207" s="1141"/>
      <c r="Q207" s="1141"/>
      <c r="R207" s="1141"/>
      <c r="S207" s="1141"/>
      <c r="T207" s="1141"/>
      <c r="U207" s="1135">
        <f t="shared" si="18"/>
        <v>800</v>
      </c>
      <c r="V207" s="1141"/>
      <c r="W207" s="1141"/>
      <c r="X207" s="1141"/>
      <c r="Y207" s="1141"/>
      <c r="Z207" s="1141"/>
      <c r="AA207" s="1141"/>
      <c r="AB207" s="1141"/>
      <c r="AC207" s="1141"/>
      <c r="AD207" s="1141"/>
      <c r="AE207" s="1135">
        <f t="shared" si="22"/>
        <v>55.5</v>
      </c>
      <c r="AF207" s="1141"/>
      <c r="AG207" s="1135">
        <f t="shared" si="23"/>
        <v>26.8</v>
      </c>
      <c r="AH207" s="1141"/>
      <c r="AI207" s="1141"/>
      <c r="AJ207" s="1142"/>
      <c r="AK207" s="1137">
        <f t="shared" si="19"/>
        <v>4.7000000000000455</v>
      </c>
      <c r="AL207" s="1137">
        <f t="shared" si="19"/>
        <v>149.69999999999999</v>
      </c>
    </row>
    <row r="208" spans="1:38" hidden="1" outlineLevel="2" x14ac:dyDescent="0.3">
      <c r="A208" s="1130"/>
      <c r="B208" s="1138" t="s">
        <v>1438</v>
      </c>
      <c r="C208" s="1139" t="s">
        <v>1439</v>
      </c>
      <c r="D208" s="1140" t="s">
        <v>1440</v>
      </c>
      <c r="E208" s="1134">
        <f t="shared" si="20"/>
        <v>923</v>
      </c>
      <c r="F208" s="1141">
        <v>399.2</v>
      </c>
      <c r="G208" s="1141"/>
      <c r="H208" s="1141"/>
      <c r="I208" s="1141"/>
      <c r="J208" s="1141"/>
      <c r="K208" s="1135">
        <f t="shared" si="21"/>
        <v>36</v>
      </c>
      <c r="L208" s="1141"/>
      <c r="M208" s="1141"/>
      <c r="N208" s="1141"/>
      <c r="O208" s="1141"/>
      <c r="P208" s="1141"/>
      <c r="Q208" s="1141"/>
      <c r="R208" s="1141"/>
      <c r="S208" s="1141"/>
      <c r="T208" s="1141"/>
      <c r="U208" s="1135">
        <f t="shared" si="18"/>
        <v>800</v>
      </c>
      <c r="V208" s="1141"/>
      <c r="W208" s="1141"/>
      <c r="X208" s="1141"/>
      <c r="Y208" s="1141"/>
      <c r="Z208" s="1141"/>
      <c r="AA208" s="1141"/>
      <c r="AB208" s="1141"/>
      <c r="AC208" s="1141"/>
      <c r="AD208" s="1141"/>
      <c r="AE208" s="1135">
        <f t="shared" si="22"/>
        <v>55.5</v>
      </c>
      <c r="AF208" s="1141"/>
      <c r="AG208" s="1135">
        <f t="shared" si="23"/>
        <v>26.8</v>
      </c>
      <c r="AH208" s="1141"/>
      <c r="AI208" s="1141"/>
      <c r="AJ208" s="1142"/>
      <c r="AK208" s="1137">
        <f t="shared" si="19"/>
        <v>4.7000000000000455</v>
      </c>
      <c r="AL208" s="1137">
        <f t="shared" si="19"/>
        <v>399.2</v>
      </c>
    </row>
    <row r="209" spans="1:38" hidden="1" outlineLevel="2" x14ac:dyDescent="0.3">
      <c r="A209" s="1130"/>
      <c r="B209" s="1138" t="s">
        <v>1441</v>
      </c>
      <c r="C209" s="1139" t="s">
        <v>1435</v>
      </c>
      <c r="D209" s="1140" t="s">
        <v>1442</v>
      </c>
      <c r="E209" s="1134">
        <f t="shared" si="20"/>
        <v>923</v>
      </c>
      <c r="F209" s="1141">
        <v>149.69999999999999</v>
      </c>
      <c r="G209" s="1141"/>
      <c r="H209" s="1141"/>
      <c r="I209" s="1141"/>
      <c r="J209" s="1141"/>
      <c r="K209" s="1135">
        <f t="shared" si="21"/>
        <v>36</v>
      </c>
      <c r="L209" s="1141"/>
      <c r="M209" s="1141"/>
      <c r="N209" s="1141"/>
      <c r="O209" s="1141"/>
      <c r="P209" s="1141"/>
      <c r="Q209" s="1141"/>
      <c r="R209" s="1141"/>
      <c r="S209" s="1141"/>
      <c r="T209" s="1141"/>
      <c r="U209" s="1135">
        <f t="shared" si="18"/>
        <v>800</v>
      </c>
      <c r="V209" s="1141"/>
      <c r="W209" s="1141"/>
      <c r="X209" s="1141"/>
      <c r="Y209" s="1141"/>
      <c r="Z209" s="1141"/>
      <c r="AA209" s="1141"/>
      <c r="AB209" s="1141"/>
      <c r="AC209" s="1141"/>
      <c r="AD209" s="1141"/>
      <c r="AE209" s="1135">
        <f t="shared" si="22"/>
        <v>55.5</v>
      </c>
      <c r="AF209" s="1141"/>
      <c r="AG209" s="1135">
        <f t="shared" si="23"/>
        <v>26.8</v>
      </c>
      <c r="AH209" s="1141"/>
      <c r="AI209" s="1141"/>
      <c r="AJ209" s="1142"/>
      <c r="AK209" s="1137">
        <f t="shared" si="19"/>
        <v>4.7000000000000455</v>
      </c>
      <c r="AL209" s="1137">
        <f t="shared" si="19"/>
        <v>149.69999999999999</v>
      </c>
    </row>
    <row r="210" spans="1:38" hidden="1" outlineLevel="2" x14ac:dyDescent="0.3">
      <c r="A210" s="1130"/>
      <c r="B210" s="1138" t="s">
        <v>1443</v>
      </c>
      <c r="C210" s="1139" t="s">
        <v>1435</v>
      </c>
      <c r="D210" s="1140" t="s">
        <v>1413</v>
      </c>
      <c r="E210" s="1134">
        <f t="shared" si="20"/>
        <v>923</v>
      </c>
      <c r="F210" s="1141">
        <v>349.3</v>
      </c>
      <c r="G210" s="1141"/>
      <c r="H210" s="1141"/>
      <c r="I210" s="1141"/>
      <c r="J210" s="1141"/>
      <c r="K210" s="1135">
        <f t="shared" si="21"/>
        <v>36</v>
      </c>
      <c r="L210" s="1141"/>
      <c r="M210" s="1141"/>
      <c r="N210" s="1141"/>
      <c r="O210" s="1141"/>
      <c r="P210" s="1141"/>
      <c r="Q210" s="1141"/>
      <c r="R210" s="1141"/>
      <c r="S210" s="1141"/>
      <c r="T210" s="1141"/>
      <c r="U210" s="1135">
        <f t="shared" si="18"/>
        <v>800</v>
      </c>
      <c r="V210" s="1141"/>
      <c r="W210" s="1141"/>
      <c r="X210" s="1141"/>
      <c r="Y210" s="1141"/>
      <c r="Z210" s="1141"/>
      <c r="AA210" s="1141"/>
      <c r="AB210" s="1141"/>
      <c r="AC210" s="1141"/>
      <c r="AD210" s="1141"/>
      <c r="AE210" s="1135">
        <f t="shared" si="22"/>
        <v>55.5</v>
      </c>
      <c r="AF210" s="1141"/>
      <c r="AG210" s="1135">
        <f t="shared" si="23"/>
        <v>26.8</v>
      </c>
      <c r="AH210" s="1141"/>
      <c r="AI210" s="1141"/>
      <c r="AJ210" s="1142"/>
      <c r="AK210" s="1137">
        <f t="shared" si="19"/>
        <v>4.7000000000000455</v>
      </c>
      <c r="AL210" s="1137">
        <f t="shared" si="19"/>
        <v>349.3</v>
      </c>
    </row>
    <row r="211" spans="1:38" ht="27.6" hidden="1" outlineLevel="2" x14ac:dyDescent="0.3">
      <c r="A211" s="1130"/>
      <c r="B211" s="1138" t="s">
        <v>1444</v>
      </c>
      <c r="C211" s="1139" t="s">
        <v>1445</v>
      </c>
      <c r="D211" s="1140" t="s">
        <v>1416</v>
      </c>
      <c r="E211" s="1134">
        <f t="shared" si="20"/>
        <v>923</v>
      </c>
      <c r="F211" s="1141">
        <v>349.3</v>
      </c>
      <c r="G211" s="1141"/>
      <c r="H211" s="1141"/>
      <c r="I211" s="1141"/>
      <c r="J211" s="1141"/>
      <c r="K211" s="1135">
        <f t="shared" si="21"/>
        <v>36</v>
      </c>
      <c r="L211" s="1141"/>
      <c r="M211" s="1141"/>
      <c r="N211" s="1141"/>
      <c r="O211" s="1141"/>
      <c r="P211" s="1141"/>
      <c r="Q211" s="1141"/>
      <c r="R211" s="1141"/>
      <c r="S211" s="1141"/>
      <c r="T211" s="1141"/>
      <c r="U211" s="1135">
        <f t="shared" si="18"/>
        <v>800</v>
      </c>
      <c r="V211" s="1141"/>
      <c r="W211" s="1141"/>
      <c r="X211" s="1141"/>
      <c r="Y211" s="1141"/>
      <c r="Z211" s="1141"/>
      <c r="AA211" s="1141"/>
      <c r="AB211" s="1141"/>
      <c r="AC211" s="1141"/>
      <c r="AD211" s="1141"/>
      <c r="AE211" s="1135">
        <f t="shared" si="22"/>
        <v>55.5</v>
      </c>
      <c r="AF211" s="1141"/>
      <c r="AG211" s="1135">
        <f t="shared" si="23"/>
        <v>26.8</v>
      </c>
      <c r="AH211" s="1141"/>
      <c r="AI211" s="1141"/>
      <c r="AJ211" s="1142"/>
      <c r="AK211" s="1137">
        <f t="shared" si="19"/>
        <v>4.7000000000000455</v>
      </c>
      <c r="AL211" s="1137">
        <f t="shared" si="19"/>
        <v>349.3</v>
      </c>
    </row>
    <row r="212" spans="1:38" ht="27.6" hidden="1" outlineLevel="2" x14ac:dyDescent="0.3">
      <c r="A212" s="1130"/>
      <c r="B212" s="1138" t="s">
        <v>1446</v>
      </c>
      <c r="C212" s="1139" t="s">
        <v>1447</v>
      </c>
      <c r="D212" s="1140" t="s">
        <v>1431</v>
      </c>
      <c r="E212" s="1134">
        <f t="shared" si="20"/>
        <v>923</v>
      </c>
      <c r="F212" s="1141">
        <v>698.6</v>
      </c>
      <c r="G212" s="1141"/>
      <c r="H212" s="1141"/>
      <c r="I212" s="1141"/>
      <c r="J212" s="1141"/>
      <c r="K212" s="1135">
        <f t="shared" si="21"/>
        <v>36</v>
      </c>
      <c r="L212" s="1141"/>
      <c r="M212" s="1141"/>
      <c r="N212" s="1141"/>
      <c r="O212" s="1141"/>
      <c r="P212" s="1141"/>
      <c r="Q212" s="1141"/>
      <c r="R212" s="1141"/>
      <c r="S212" s="1141"/>
      <c r="T212" s="1141"/>
      <c r="U212" s="1135">
        <f t="shared" si="18"/>
        <v>800</v>
      </c>
      <c r="V212" s="1141"/>
      <c r="W212" s="1141"/>
      <c r="X212" s="1141"/>
      <c r="Y212" s="1141"/>
      <c r="Z212" s="1141"/>
      <c r="AA212" s="1141"/>
      <c r="AB212" s="1141"/>
      <c r="AC212" s="1141"/>
      <c r="AD212" s="1141"/>
      <c r="AE212" s="1135">
        <f t="shared" si="22"/>
        <v>55.5</v>
      </c>
      <c r="AF212" s="1141"/>
      <c r="AG212" s="1135">
        <f t="shared" si="23"/>
        <v>26.8</v>
      </c>
      <c r="AH212" s="1141"/>
      <c r="AI212" s="1141"/>
      <c r="AJ212" s="1142"/>
      <c r="AK212" s="1137">
        <f t="shared" si="19"/>
        <v>4.7000000000000455</v>
      </c>
      <c r="AL212" s="1137">
        <f t="shared" si="19"/>
        <v>698.6</v>
      </c>
    </row>
    <row r="213" spans="1:38" hidden="1" outlineLevel="2" x14ac:dyDescent="0.3">
      <c r="A213" s="1130"/>
      <c r="B213" s="1138" t="s">
        <v>1448</v>
      </c>
      <c r="C213" s="1139" t="s">
        <v>1449</v>
      </c>
      <c r="D213" s="1140" t="s">
        <v>1440</v>
      </c>
      <c r="E213" s="1134">
        <f t="shared" si="20"/>
        <v>923</v>
      </c>
      <c r="F213" s="1141">
        <v>449.09999999999997</v>
      </c>
      <c r="G213" s="1141"/>
      <c r="H213" s="1141"/>
      <c r="I213" s="1141"/>
      <c r="J213" s="1141"/>
      <c r="K213" s="1135">
        <f t="shared" si="21"/>
        <v>36</v>
      </c>
      <c r="L213" s="1141"/>
      <c r="M213" s="1141"/>
      <c r="N213" s="1141"/>
      <c r="O213" s="1141"/>
      <c r="P213" s="1141"/>
      <c r="Q213" s="1141"/>
      <c r="R213" s="1141"/>
      <c r="S213" s="1141"/>
      <c r="T213" s="1141"/>
      <c r="U213" s="1135">
        <f t="shared" si="18"/>
        <v>800</v>
      </c>
      <c r="V213" s="1141"/>
      <c r="W213" s="1141"/>
      <c r="X213" s="1141"/>
      <c r="Y213" s="1141"/>
      <c r="Z213" s="1141"/>
      <c r="AA213" s="1141"/>
      <c r="AB213" s="1141"/>
      <c r="AC213" s="1141"/>
      <c r="AD213" s="1141"/>
      <c r="AE213" s="1135">
        <f t="shared" si="22"/>
        <v>55.5</v>
      </c>
      <c r="AF213" s="1141"/>
      <c r="AG213" s="1135">
        <f t="shared" si="23"/>
        <v>26.8</v>
      </c>
      <c r="AH213" s="1141"/>
      <c r="AI213" s="1141"/>
      <c r="AJ213" s="1142"/>
      <c r="AK213" s="1137">
        <f t="shared" si="19"/>
        <v>4.7000000000000455</v>
      </c>
      <c r="AL213" s="1137">
        <f t="shared" si="19"/>
        <v>449.09999999999997</v>
      </c>
    </row>
    <row r="214" spans="1:38" ht="27.6" hidden="1" outlineLevel="2" x14ac:dyDescent="0.3">
      <c r="A214" s="1130"/>
      <c r="B214" s="1138" t="s">
        <v>1450</v>
      </c>
      <c r="C214" s="1139" t="s">
        <v>1451</v>
      </c>
      <c r="D214" s="1140" t="s">
        <v>1442</v>
      </c>
      <c r="E214" s="1134">
        <f t="shared" si="20"/>
        <v>923</v>
      </c>
      <c r="F214" s="1141">
        <v>0</v>
      </c>
      <c r="G214" s="1141"/>
      <c r="H214" s="1141"/>
      <c r="I214" s="1141"/>
      <c r="J214" s="1141"/>
      <c r="K214" s="1135">
        <f t="shared" si="21"/>
        <v>36</v>
      </c>
      <c r="L214" s="1141"/>
      <c r="M214" s="1141"/>
      <c r="N214" s="1141"/>
      <c r="O214" s="1141"/>
      <c r="P214" s="1141"/>
      <c r="Q214" s="1141"/>
      <c r="R214" s="1141"/>
      <c r="S214" s="1141"/>
      <c r="T214" s="1141"/>
      <c r="U214" s="1135">
        <f t="shared" si="18"/>
        <v>800</v>
      </c>
      <c r="V214" s="1141"/>
      <c r="W214" s="1141"/>
      <c r="X214" s="1141"/>
      <c r="Y214" s="1141"/>
      <c r="Z214" s="1141"/>
      <c r="AA214" s="1141"/>
      <c r="AB214" s="1141"/>
      <c r="AC214" s="1141"/>
      <c r="AD214" s="1141"/>
      <c r="AE214" s="1135">
        <f t="shared" si="22"/>
        <v>55.5</v>
      </c>
      <c r="AF214" s="1141"/>
      <c r="AG214" s="1135">
        <f t="shared" si="23"/>
        <v>26.8</v>
      </c>
      <c r="AH214" s="1141"/>
      <c r="AI214" s="1141"/>
      <c r="AJ214" s="1142"/>
      <c r="AK214" s="1137">
        <f t="shared" si="19"/>
        <v>4.7000000000000455</v>
      </c>
      <c r="AL214" s="1137">
        <f t="shared" si="19"/>
        <v>0</v>
      </c>
    </row>
    <row r="215" spans="1:38" ht="27.6" hidden="1" outlineLevel="2" x14ac:dyDescent="0.3">
      <c r="A215" s="1130"/>
      <c r="B215" s="1138" t="s">
        <v>1452</v>
      </c>
      <c r="C215" s="1139" t="s">
        <v>1453</v>
      </c>
      <c r="D215" s="1140" t="s">
        <v>1413</v>
      </c>
      <c r="E215" s="1134">
        <f t="shared" si="20"/>
        <v>923</v>
      </c>
      <c r="F215" s="1141">
        <v>199.6</v>
      </c>
      <c r="G215" s="1141"/>
      <c r="H215" s="1141"/>
      <c r="I215" s="1141"/>
      <c r="J215" s="1141"/>
      <c r="K215" s="1135">
        <f t="shared" si="21"/>
        <v>36</v>
      </c>
      <c r="L215" s="1141"/>
      <c r="M215" s="1141"/>
      <c r="N215" s="1141"/>
      <c r="O215" s="1141"/>
      <c r="P215" s="1141"/>
      <c r="Q215" s="1141"/>
      <c r="R215" s="1141"/>
      <c r="S215" s="1141"/>
      <c r="T215" s="1141"/>
      <c r="U215" s="1135">
        <f t="shared" si="18"/>
        <v>800</v>
      </c>
      <c r="V215" s="1141"/>
      <c r="W215" s="1141"/>
      <c r="X215" s="1141"/>
      <c r="Y215" s="1141"/>
      <c r="Z215" s="1141"/>
      <c r="AA215" s="1141"/>
      <c r="AB215" s="1141"/>
      <c r="AC215" s="1141"/>
      <c r="AD215" s="1141"/>
      <c r="AE215" s="1135">
        <f t="shared" si="22"/>
        <v>55.5</v>
      </c>
      <c r="AF215" s="1141"/>
      <c r="AG215" s="1135">
        <f t="shared" si="23"/>
        <v>26.8</v>
      </c>
      <c r="AH215" s="1141"/>
      <c r="AI215" s="1141"/>
      <c r="AJ215" s="1142"/>
      <c r="AK215" s="1137">
        <f t="shared" si="19"/>
        <v>4.7000000000000455</v>
      </c>
      <c r="AL215" s="1137">
        <f t="shared" si="19"/>
        <v>199.6</v>
      </c>
    </row>
    <row r="216" spans="1:38" hidden="1" outlineLevel="2" x14ac:dyDescent="0.3">
      <c r="A216" s="1130"/>
      <c r="B216" s="1138" t="s">
        <v>1454</v>
      </c>
      <c r="C216" s="1139" t="s">
        <v>1453</v>
      </c>
      <c r="D216" s="1140" t="s">
        <v>1455</v>
      </c>
      <c r="E216" s="1134">
        <f t="shared" si="20"/>
        <v>923</v>
      </c>
      <c r="F216" s="1141">
        <v>399.2</v>
      </c>
      <c r="G216" s="1141"/>
      <c r="H216" s="1141"/>
      <c r="I216" s="1141"/>
      <c r="J216" s="1141"/>
      <c r="K216" s="1135">
        <f t="shared" si="21"/>
        <v>36</v>
      </c>
      <c r="L216" s="1141"/>
      <c r="M216" s="1141"/>
      <c r="N216" s="1141"/>
      <c r="O216" s="1141"/>
      <c r="P216" s="1141"/>
      <c r="Q216" s="1141"/>
      <c r="R216" s="1141"/>
      <c r="S216" s="1141"/>
      <c r="T216" s="1141"/>
      <c r="U216" s="1135">
        <f t="shared" si="18"/>
        <v>800</v>
      </c>
      <c r="V216" s="1141"/>
      <c r="W216" s="1141"/>
      <c r="X216" s="1141"/>
      <c r="Y216" s="1141"/>
      <c r="Z216" s="1141"/>
      <c r="AA216" s="1141"/>
      <c r="AB216" s="1141"/>
      <c r="AC216" s="1141"/>
      <c r="AD216" s="1141"/>
      <c r="AE216" s="1135">
        <f t="shared" si="22"/>
        <v>55.5</v>
      </c>
      <c r="AF216" s="1141"/>
      <c r="AG216" s="1135">
        <f t="shared" si="23"/>
        <v>26.8</v>
      </c>
      <c r="AH216" s="1141"/>
      <c r="AI216" s="1141"/>
      <c r="AJ216" s="1142"/>
      <c r="AK216" s="1137">
        <f t="shared" si="19"/>
        <v>4.7000000000000455</v>
      </c>
      <c r="AL216" s="1137">
        <f t="shared" si="19"/>
        <v>399.2</v>
      </c>
    </row>
    <row r="217" spans="1:38" hidden="1" outlineLevel="2" x14ac:dyDescent="0.3">
      <c r="A217" s="1130"/>
      <c r="B217" s="1138" t="s">
        <v>1456</v>
      </c>
      <c r="C217" s="1139" t="s">
        <v>1457</v>
      </c>
      <c r="D217" s="1140" t="s">
        <v>1436</v>
      </c>
      <c r="E217" s="1134">
        <f t="shared" si="20"/>
        <v>923</v>
      </c>
      <c r="F217" s="1141">
        <v>698.6</v>
      </c>
      <c r="G217" s="1141"/>
      <c r="H217" s="1141"/>
      <c r="I217" s="1141"/>
      <c r="J217" s="1141"/>
      <c r="K217" s="1135">
        <f t="shared" si="21"/>
        <v>36</v>
      </c>
      <c r="L217" s="1141"/>
      <c r="M217" s="1141"/>
      <c r="N217" s="1141"/>
      <c r="O217" s="1141"/>
      <c r="P217" s="1141"/>
      <c r="Q217" s="1141"/>
      <c r="R217" s="1141"/>
      <c r="S217" s="1141"/>
      <c r="T217" s="1141"/>
      <c r="U217" s="1135">
        <f t="shared" si="18"/>
        <v>800</v>
      </c>
      <c r="V217" s="1141"/>
      <c r="W217" s="1141"/>
      <c r="X217" s="1141"/>
      <c r="Y217" s="1141"/>
      <c r="Z217" s="1141"/>
      <c r="AA217" s="1141"/>
      <c r="AB217" s="1141"/>
      <c r="AC217" s="1141"/>
      <c r="AD217" s="1141"/>
      <c r="AE217" s="1135">
        <f t="shared" si="22"/>
        <v>55.5</v>
      </c>
      <c r="AF217" s="1141"/>
      <c r="AG217" s="1135">
        <f t="shared" si="23"/>
        <v>26.8</v>
      </c>
      <c r="AH217" s="1141"/>
      <c r="AI217" s="1141"/>
      <c r="AJ217" s="1142"/>
      <c r="AK217" s="1137">
        <f t="shared" si="19"/>
        <v>4.7000000000000455</v>
      </c>
      <c r="AL217" s="1137">
        <f t="shared" si="19"/>
        <v>698.6</v>
      </c>
    </row>
    <row r="218" spans="1:38" ht="27.6" hidden="1" outlineLevel="2" x14ac:dyDescent="0.3">
      <c r="A218" s="1130"/>
      <c r="B218" s="1138" t="s">
        <v>1458</v>
      </c>
      <c r="C218" s="1139" t="s">
        <v>1457</v>
      </c>
      <c r="D218" s="1140" t="s">
        <v>1442</v>
      </c>
      <c r="E218" s="1134">
        <f t="shared" si="20"/>
        <v>923</v>
      </c>
      <c r="F218" s="1141">
        <v>99.8</v>
      </c>
      <c r="G218" s="1141"/>
      <c r="H218" s="1141"/>
      <c r="I218" s="1141"/>
      <c r="J218" s="1141"/>
      <c r="K218" s="1135">
        <f t="shared" si="21"/>
        <v>36</v>
      </c>
      <c r="L218" s="1141"/>
      <c r="M218" s="1141"/>
      <c r="N218" s="1141"/>
      <c r="O218" s="1141"/>
      <c r="P218" s="1141"/>
      <c r="Q218" s="1141"/>
      <c r="R218" s="1141"/>
      <c r="S218" s="1141"/>
      <c r="T218" s="1141"/>
      <c r="U218" s="1135">
        <f t="shared" si="18"/>
        <v>800</v>
      </c>
      <c r="V218" s="1141"/>
      <c r="W218" s="1141"/>
      <c r="X218" s="1141"/>
      <c r="Y218" s="1141"/>
      <c r="Z218" s="1141"/>
      <c r="AA218" s="1141"/>
      <c r="AB218" s="1141"/>
      <c r="AC218" s="1141"/>
      <c r="AD218" s="1141"/>
      <c r="AE218" s="1135">
        <f t="shared" si="22"/>
        <v>55.5</v>
      </c>
      <c r="AF218" s="1141"/>
      <c r="AG218" s="1135">
        <f t="shared" si="23"/>
        <v>26.8</v>
      </c>
      <c r="AH218" s="1141"/>
      <c r="AI218" s="1141"/>
      <c r="AJ218" s="1142"/>
      <c r="AK218" s="1137">
        <f t="shared" si="19"/>
        <v>4.7000000000000455</v>
      </c>
      <c r="AL218" s="1137">
        <f t="shared" si="19"/>
        <v>99.8</v>
      </c>
    </row>
    <row r="219" spans="1:38" hidden="1" outlineLevel="2" x14ac:dyDescent="0.3">
      <c r="A219" s="1130"/>
      <c r="B219" s="1138" t="s">
        <v>1459</v>
      </c>
      <c r="C219" s="1139" t="s">
        <v>1457</v>
      </c>
      <c r="D219" s="1140" t="s">
        <v>1413</v>
      </c>
      <c r="E219" s="1134">
        <f t="shared" si="20"/>
        <v>923</v>
      </c>
      <c r="F219" s="1141">
        <v>99.8</v>
      </c>
      <c r="G219" s="1141"/>
      <c r="H219" s="1141"/>
      <c r="I219" s="1141"/>
      <c r="J219" s="1141"/>
      <c r="K219" s="1135">
        <f t="shared" si="21"/>
        <v>36</v>
      </c>
      <c r="L219" s="1141"/>
      <c r="M219" s="1141"/>
      <c r="N219" s="1141"/>
      <c r="O219" s="1141"/>
      <c r="P219" s="1141"/>
      <c r="Q219" s="1141"/>
      <c r="R219" s="1141"/>
      <c r="S219" s="1141"/>
      <c r="T219" s="1141"/>
      <c r="U219" s="1135">
        <f t="shared" si="18"/>
        <v>800</v>
      </c>
      <c r="V219" s="1141"/>
      <c r="W219" s="1141"/>
      <c r="X219" s="1141"/>
      <c r="Y219" s="1141"/>
      <c r="Z219" s="1141"/>
      <c r="AA219" s="1141"/>
      <c r="AB219" s="1141"/>
      <c r="AC219" s="1141"/>
      <c r="AD219" s="1141"/>
      <c r="AE219" s="1135">
        <f t="shared" si="22"/>
        <v>55.5</v>
      </c>
      <c r="AF219" s="1141"/>
      <c r="AG219" s="1135">
        <f t="shared" si="23"/>
        <v>26.8</v>
      </c>
      <c r="AH219" s="1141"/>
      <c r="AI219" s="1141"/>
      <c r="AJ219" s="1142"/>
      <c r="AK219" s="1137">
        <f t="shared" si="19"/>
        <v>4.7000000000000455</v>
      </c>
      <c r="AL219" s="1137">
        <f t="shared" si="19"/>
        <v>99.8</v>
      </c>
    </row>
    <row r="220" spans="1:38" hidden="1" outlineLevel="2" x14ac:dyDescent="0.3">
      <c r="A220" s="1130"/>
      <c r="B220" s="1138"/>
      <c r="C220" s="1139"/>
      <c r="D220" s="1140"/>
      <c r="E220" s="1134">
        <f t="shared" si="20"/>
        <v>923</v>
      </c>
      <c r="F220" s="1141"/>
      <c r="G220" s="1141"/>
      <c r="H220" s="1141"/>
      <c r="I220" s="1141"/>
      <c r="J220" s="1141"/>
      <c r="K220" s="1135">
        <f t="shared" si="21"/>
        <v>36</v>
      </c>
      <c r="L220" s="1141"/>
      <c r="M220" s="1141"/>
      <c r="N220" s="1141"/>
      <c r="O220" s="1141"/>
      <c r="P220" s="1141"/>
      <c r="Q220" s="1141"/>
      <c r="R220" s="1141"/>
      <c r="S220" s="1141"/>
      <c r="T220" s="1141"/>
      <c r="U220" s="1135">
        <f t="shared" si="18"/>
        <v>800</v>
      </c>
      <c r="V220" s="1141"/>
      <c r="W220" s="1141"/>
      <c r="X220" s="1141"/>
      <c r="Y220" s="1141"/>
      <c r="Z220" s="1141"/>
      <c r="AA220" s="1141"/>
      <c r="AB220" s="1141"/>
      <c r="AC220" s="1141"/>
      <c r="AD220" s="1141"/>
      <c r="AE220" s="1135">
        <f t="shared" si="22"/>
        <v>55.5</v>
      </c>
      <c r="AF220" s="1141"/>
      <c r="AG220" s="1135">
        <f t="shared" si="23"/>
        <v>26.8</v>
      </c>
      <c r="AH220" s="1141"/>
      <c r="AI220" s="1141"/>
      <c r="AJ220" s="1142"/>
      <c r="AK220" s="1137">
        <f t="shared" si="19"/>
        <v>4.7000000000000455</v>
      </c>
      <c r="AL220" s="1137">
        <f t="shared" si="19"/>
        <v>0</v>
      </c>
    </row>
    <row r="221" spans="1:38" hidden="1" outlineLevel="2" x14ac:dyDescent="0.3">
      <c r="A221" s="1130"/>
      <c r="B221" s="1138"/>
      <c r="C221" s="1139"/>
      <c r="D221" s="1140"/>
      <c r="E221" s="1134">
        <f t="shared" si="20"/>
        <v>923</v>
      </c>
      <c r="F221" s="1141"/>
      <c r="G221" s="1141"/>
      <c r="H221" s="1141"/>
      <c r="I221" s="1141"/>
      <c r="J221" s="1141"/>
      <c r="K221" s="1135">
        <f t="shared" si="21"/>
        <v>36</v>
      </c>
      <c r="L221" s="1141"/>
      <c r="M221" s="1141"/>
      <c r="N221" s="1141"/>
      <c r="O221" s="1141"/>
      <c r="P221" s="1141"/>
      <c r="Q221" s="1141"/>
      <c r="R221" s="1141"/>
      <c r="S221" s="1141"/>
      <c r="T221" s="1141"/>
      <c r="U221" s="1135">
        <f t="shared" si="18"/>
        <v>800</v>
      </c>
      <c r="V221" s="1141"/>
      <c r="W221" s="1141"/>
      <c r="X221" s="1141"/>
      <c r="Y221" s="1141"/>
      <c r="Z221" s="1141"/>
      <c r="AA221" s="1141"/>
      <c r="AB221" s="1141"/>
      <c r="AC221" s="1141"/>
      <c r="AD221" s="1141"/>
      <c r="AE221" s="1135">
        <f t="shared" si="22"/>
        <v>55.5</v>
      </c>
      <c r="AF221" s="1141"/>
      <c r="AG221" s="1135">
        <f t="shared" si="23"/>
        <v>26.8</v>
      </c>
      <c r="AH221" s="1141"/>
      <c r="AI221" s="1141"/>
      <c r="AJ221" s="1142"/>
      <c r="AK221" s="1137">
        <f t="shared" si="19"/>
        <v>4.7000000000000455</v>
      </c>
      <c r="AL221" s="1137">
        <f t="shared" si="19"/>
        <v>0</v>
      </c>
    </row>
    <row r="222" spans="1:38" hidden="1" outlineLevel="2" x14ac:dyDescent="0.3">
      <c r="A222" s="1130"/>
      <c r="B222" s="1138"/>
      <c r="C222" s="1139"/>
      <c r="D222" s="1140"/>
      <c r="E222" s="1134">
        <f t="shared" si="20"/>
        <v>923</v>
      </c>
      <c r="F222" s="1141"/>
      <c r="G222" s="1141"/>
      <c r="H222" s="1141"/>
      <c r="I222" s="1141"/>
      <c r="J222" s="1141"/>
      <c r="K222" s="1135">
        <f t="shared" si="21"/>
        <v>36</v>
      </c>
      <c r="L222" s="1141"/>
      <c r="M222" s="1141"/>
      <c r="N222" s="1141"/>
      <c r="O222" s="1141"/>
      <c r="P222" s="1141"/>
      <c r="Q222" s="1141"/>
      <c r="R222" s="1141"/>
      <c r="S222" s="1141"/>
      <c r="T222" s="1141"/>
      <c r="U222" s="1135">
        <f t="shared" si="18"/>
        <v>800</v>
      </c>
      <c r="V222" s="1141"/>
      <c r="W222" s="1141"/>
      <c r="X222" s="1141"/>
      <c r="Y222" s="1141"/>
      <c r="Z222" s="1141"/>
      <c r="AA222" s="1141"/>
      <c r="AB222" s="1141"/>
      <c r="AC222" s="1141"/>
      <c r="AD222" s="1141"/>
      <c r="AE222" s="1135">
        <f t="shared" si="22"/>
        <v>55.5</v>
      </c>
      <c r="AF222" s="1141"/>
      <c r="AG222" s="1135">
        <f t="shared" si="23"/>
        <v>26.8</v>
      </c>
      <c r="AH222" s="1141"/>
      <c r="AI222" s="1141"/>
      <c r="AJ222" s="1142"/>
      <c r="AK222" s="1137">
        <f t="shared" si="19"/>
        <v>4.7000000000000455</v>
      </c>
      <c r="AL222" s="1137">
        <f t="shared" si="19"/>
        <v>0</v>
      </c>
    </row>
    <row r="223" spans="1:38" hidden="1" outlineLevel="2" x14ac:dyDescent="0.3">
      <c r="A223" s="1130"/>
      <c r="B223" s="1138"/>
      <c r="C223" s="1139"/>
      <c r="D223" s="1140"/>
      <c r="E223" s="1134">
        <f t="shared" si="20"/>
        <v>923</v>
      </c>
      <c r="F223" s="1141"/>
      <c r="G223" s="1141"/>
      <c r="H223" s="1141"/>
      <c r="I223" s="1141"/>
      <c r="J223" s="1141"/>
      <c r="K223" s="1135">
        <f t="shared" si="21"/>
        <v>36</v>
      </c>
      <c r="L223" s="1141"/>
      <c r="M223" s="1141"/>
      <c r="N223" s="1141"/>
      <c r="O223" s="1141"/>
      <c r="P223" s="1141"/>
      <c r="Q223" s="1141"/>
      <c r="R223" s="1141"/>
      <c r="S223" s="1141"/>
      <c r="T223" s="1141"/>
      <c r="U223" s="1135">
        <f t="shared" si="18"/>
        <v>800</v>
      </c>
      <c r="V223" s="1141"/>
      <c r="W223" s="1141"/>
      <c r="X223" s="1141"/>
      <c r="Y223" s="1141"/>
      <c r="Z223" s="1141"/>
      <c r="AA223" s="1141"/>
      <c r="AB223" s="1141"/>
      <c r="AC223" s="1141"/>
      <c r="AD223" s="1141"/>
      <c r="AE223" s="1135">
        <f t="shared" si="22"/>
        <v>55.5</v>
      </c>
      <c r="AF223" s="1141"/>
      <c r="AG223" s="1135">
        <f t="shared" si="23"/>
        <v>26.8</v>
      </c>
      <c r="AH223" s="1141"/>
      <c r="AI223" s="1141"/>
      <c r="AJ223" s="1142"/>
      <c r="AK223" s="1137">
        <f t="shared" si="19"/>
        <v>4.7000000000000455</v>
      </c>
      <c r="AL223" s="1137">
        <f t="shared" si="19"/>
        <v>0</v>
      </c>
    </row>
    <row r="224" spans="1:38" hidden="1" outlineLevel="2" x14ac:dyDescent="0.3">
      <c r="A224" s="1130"/>
      <c r="B224" s="1138"/>
      <c r="C224" s="1139"/>
      <c r="D224" s="1140"/>
      <c r="E224" s="1134">
        <f t="shared" si="20"/>
        <v>923</v>
      </c>
      <c r="F224" s="1141"/>
      <c r="G224" s="1141"/>
      <c r="H224" s="1141"/>
      <c r="I224" s="1141"/>
      <c r="J224" s="1141"/>
      <c r="K224" s="1135">
        <f t="shared" si="21"/>
        <v>36</v>
      </c>
      <c r="L224" s="1141"/>
      <c r="M224" s="1141"/>
      <c r="N224" s="1141"/>
      <c r="O224" s="1141"/>
      <c r="P224" s="1141"/>
      <c r="Q224" s="1141"/>
      <c r="R224" s="1141"/>
      <c r="S224" s="1141"/>
      <c r="T224" s="1141"/>
      <c r="U224" s="1135">
        <f t="shared" si="18"/>
        <v>800</v>
      </c>
      <c r="V224" s="1141"/>
      <c r="W224" s="1141"/>
      <c r="X224" s="1141"/>
      <c r="Y224" s="1141"/>
      <c r="Z224" s="1141"/>
      <c r="AA224" s="1141"/>
      <c r="AB224" s="1141"/>
      <c r="AC224" s="1141"/>
      <c r="AD224" s="1141"/>
      <c r="AE224" s="1135">
        <f t="shared" si="22"/>
        <v>55.5</v>
      </c>
      <c r="AF224" s="1141"/>
      <c r="AG224" s="1135">
        <f t="shared" si="23"/>
        <v>26.8</v>
      </c>
      <c r="AH224" s="1141"/>
      <c r="AI224" s="1141"/>
      <c r="AJ224" s="1142"/>
      <c r="AK224" s="1137">
        <f t="shared" si="19"/>
        <v>4.7000000000000455</v>
      </c>
      <c r="AL224" s="1137">
        <f t="shared" si="19"/>
        <v>0</v>
      </c>
    </row>
    <row r="225" spans="1:38" hidden="1" outlineLevel="2" x14ac:dyDescent="0.3">
      <c r="A225" s="1130"/>
      <c r="B225" s="1138"/>
      <c r="C225" s="1139"/>
      <c r="D225" s="1140"/>
      <c r="E225" s="1134">
        <f t="shared" si="20"/>
        <v>923</v>
      </c>
      <c r="F225" s="1141"/>
      <c r="G225" s="1141"/>
      <c r="H225" s="1141"/>
      <c r="I225" s="1141"/>
      <c r="J225" s="1141"/>
      <c r="K225" s="1135">
        <f t="shared" si="21"/>
        <v>36</v>
      </c>
      <c r="L225" s="1141"/>
      <c r="M225" s="1141"/>
      <c r="N225" s="1141"/>
      <c r="O225" s="1141"/>
      <c r="P225" s="1141"/>
      <c r="Q225" s="1141"/>
      <c r="R225" s="1141"/>
      <c r="S225" s="1141"/>
      <c r="T225" s="1141"/>
      <c r="U225" s="1135">
        <f t="shared" si="18"/>
        <v>800</v>
      </c>
      <c r="V225" s="1141"/>
      <c r="W225" s="1141"/>
      <c r="X225" s="1141"/>
      <c r="Y225" s="1141"/>
      <c r="Z225" s="1141"/>
      <c r="AA225" s="1141"/>
      <c r="AB225" s="1141"/>
      <c r="AC225" s="1141"/>
      <c r="AD225" s="1141"/>
      <c r="AE225" s="1135">
        <f t="shared" si="22"/>
        <v>55.5</v>
      </c>
      <c r="AF225" s="1141"/>
      <c r="AG225" s="1135">
        <f t="shared" si="23"/>
        <v>26.8</v>
      </c>
      <c r="AH225" s="1141"/>
      <c r="AI225" s="1141"/>
      <c r="AJ225" s="1142"/>
      <c r="AK225" s="1137">
        <f t="shared" si="19"/>
        <v>4.7000000000000455</v>
      </c>
      <c r="AL225" s="1137">
        <f t="shared" si="19"/>
        <v>0</v>
      </c>
    </row>
    <row r="226" spans="1:38" hidden="1" outlineLevel="2" x14ac:dyDescent="0.3">
      <c r="A226" s="1130"/>
      <c r="B226" s="1138"/>
      <c r="C226" s="1139"/>
      <c r="D226" s="1140"/>
      <c r="E226" s="1134">
        <f t="shared" si="20"/>
        <v>923</v>
      </c>
      <c r="F226" s="1141"/>
      <c r="G226" s="1141"/>
      <c r="H226" s="1141"/>
      <c r="I226" s="1141"/>
      <c r="J226" s="1141"/>
      <c r="K226" s="1135">
        <f t="shared" si="21"/>
        <v>36</v>
      </c>
      <c r="L226" s="1141"/>
      <c r="M226" s="1141"/>
      <c r="N226" s="1141"/>
      <c r="O226" s="1141"/>
      <c r="P226" s="1141"/>
      <c r="Q226" s="1141"/>
      <c r="R226" s="1141"/>
      <c r="S226" s="1141"/>
      <c r="T226" s="1141"/>
      <c r="U226" s="1135">
        <f t="shared" si="18"/>
        <v>800</v>
      </c>
      <c r="V226" s="1141"/>
      <c r="W226" s="1141"/>
      <c r="X226" s="1141"/>
      <c r="Y226" s="1141"/>
      <c r="Z226" s="1141"/>
      <c r="AA226" s="1141"/>
      <c r="AB226" s="1141"/>
      <c r="AC226" s="1141"/>
      <c r="AD226" s="1141"/>
      <c r="AE226" s="1135">
        <f t="shared" si="22"/>
        <v>55.5</v>
      </c>
      <c r="AF226" s="1141"/>
      <c r="AG226" s="1135">
        <f t="shared" si="23"/>
        <v>26.8</v>
      </c>
      <c r="AH226" s="1141"/>
      <c r="AI226" s="1141"/>
      <c r="AJ226" s="1142"/>
      <c r="AK226" s="1137">
        <f t="shared" si="19"/>
        <v>4.7000000000000455</v>
      </c>
      <c r="AL226" s="1137">
        <f t="shared" si="19"/>
        <v>0</v>
      </c>
    </row>
    <row r="227" spans="1:38" hidden="1" outlineLevel="2" x14ac:dyDescent="0.3">
      <c r="A227" s="1130"/>
      <c r="B227" s="1138"/>
      <c r="C227" s="1139"/>
      <c r="D227" s="1140"/>
      <c r="E227" s="1134">
        <f t="shared" si="20"/>
        <v>923</v>
      </c>
      <c r="F227" s="1141"/>
      <c r="G227" s="1141"/>
      <c r="H227" s="1141"/>
      <c r="I227" s="1141"/>
      <c r="J227" s="1141"/>
      <c r="K227" s="1135">
        <f t="shared" si="21"/>
        <v>36</v>
      </c>
      <c r="L227" s="1141"/>
      <c r="M227" s="1141"/>
      <c r="N227" s="1141"/>
      <c r="O227" s="1141"/>
      <c r="P227" s="1141"/>
      <c r="Q227" s="1141"/>
      <c r="R227" s="1141"/>
      <c r="S227" s="1141"/>
      <c r="T227" s="1141"/>
      <c r="U227" s="1135">
        <f t="shared" si="18"/>
        <v>800</v>
      </c>
      <c r="V227" s="1141"/>
      <c r="W227" s="1141"/>
      <c r="X227" s="1141"/>
      <c r="Y227" s="1141"/>
      <c r="Z227" s="1141"/>
      <c r="AA227" s="1141"/>
      <c r="AB227" s="1141"/>
      <c r="AC227" s="1141"/>
      <c r="AD227" s="1141"/>
      <c r="AE227" s="1135">
        <f t="shared" si="22"/>
        <v>55.5</v>
      </c>
      <c r="AF227" s="1141"/>
      <c r="AG227" s="1135">
        <f t="shared" si="23"/>
        <v>26.8</v>
      </c>
      <c r="AH227" s="1141"/>
      <c r="AI227" s="1141"/>
      <c r="AJ227" s="1142"/>
      <c r="AK227" s="1137">
        <f t="shared" si="19"/>
        <v>4.7000000000000455</v>
      </c>
      <c r="AL227" s="1137">
        <f t="shared" si="19"/>
        <v>0</v>
      </c>
    </row>
    <row r="228" spans="1:38" hidden="1" outlineLevel="2" x14ac:dyDescent="0.3">
      <c r="A228" s="1130"/>
      <c r="B228" s="1138"/>
      <c r="C228" s="1139"/>
      <c r="D228" s="1140"/>
      <c r="E228" s="1134">
        <f t="shared" si="20"/>
        <v>923</v>
      </c>
      <c r="F228" s="1141"/>
      <c r="G228" s="1141"/>
      <c r="H228" s="1141"/>
      <c r="I228" s="1141"/>
      <c r="J228" s="1141"/>
      <c r="K228" s="1135">
        <f t="shared" si="21"/>
        <v>36</v>
      </c>
      <c r="L228" s="1141"/>
      <c r="M228" s="1141"/>
      <c r="N228" s="1141"/>
      <c r="O228" s="1141"/>
      <c r="P228" s="1141"/>
      <c r="Q228" s="1141"/>
      <c r="R228" s="1141"/>
      <c r="S228" s="1141"/>
      <c r="T228" s="1141"/>
      <c r="U228" s="1135">
        <f t="shared" si="18"/>
        <v>800</v>
      </c>
      <c r="V228" s="1141"/>
      <c r="W228" s="1141"/>
      <c r="X228" s="1141"/>
      <c r="Y228" s="1141"/>
      <c r="Z228" s="1141"/>
      <c r="AA228" s="1141"/>
      <c r="AB228" s="1141"/>
      <c r="AC228" s="1141"/>
      <c r="AD228" s="1141"/>
      <c r="AE228" s="1135">
        <f t="shared" si="22"/>
        <v>55.5</v>
      </c>
      <c r="AF228" s="1141"/>
      <c r="AG228" s="1135">
        <f t="shared" si="23"/>
        <v>26.8</v>
      </c>
      <c r="AH228" s="1141"/>
      <c r="AI228" s="1141"/>
      <c r="AJ228" s="1142"/>
      <c r="AK228" s="1137">
        <f t="shared" ref="AK228:AL246" si="24">SUM(E228,G228,I228)-SUM(K228,M228,O228,Q228,S228,U228,W228,Y228,AA228,AC228,AE228,AG228,AI228)</f>
        <v>4.7000000000000455</v>
      </c>
      <c r="AL228" s="1137">
        <f t="shared" si="24"/>
        <v>0</v>
      </c>
    </row>
    <row r="229" spans="1:38" hidden="1" outlineLevel="2" x14ac:dyDescent="0.3">
      <c r="A229" s="1130"/>
      <c r="B229" s="1138"/>
      <c r="C229" s="1139"/>
      <c r="D229" s="1140"/>
      <c r="E229" s="1134">
        <f t="shared" si="20"/>
        <v>923</v>
      </c>
      <c r="F229" s="1141"/>
      <c r="G229" s="1141"/>
      <c r="H229" s="1141"/>
      <c r="I229" s="1141"/>
      <c r="J229" s="1141"/>
      <c r="K229" s="1135">
        <f t="shared" si="21"/>
        <v>36</v>
      </c>
      <c r="L229" s="1141"/>
      <c r="M229" s="1141"/>
      <c r="N229" s="1141"/>
      <c r="O229" s="1141"/>
      <c r="P229" s="1141"/>
      <c r="Q229" s="1141"/>
      <c r="R229" s="1141"/>
      <c r="S229" s="1141"/>
      <c r="T229" s="1141"/>
      <c r="U229" s="1135">
        <f t="shared" si="18"/>
        <v>800</v>
      </c>
      <c r="V229" s="1141"/>
      <c r="W229" s="1141"/>
      <c r="X229" s="1141"/>
      <c r="Y229" s="1141"/>
      <c r="Z229" s="1141"/>
      <c r="AA229" s="1141"/>
      <c r="AB229" s="1141"/>
      <c r="AC229" s="1141"/>
      <c r="AD229" s="1141"/>
      <c r="AE229" s="1135">
        <f t="shared" si="22"/>
        <v>55.5</v>
      </c>
      <c r="AF229" s="1141"/>
      <c r="AG229" s="1135">
        <f t="shared" si="23"/>
        <v>26.8</v>
      </c>
      <c r="AH229" s="1141"/>
      <c r="AI229" s="1141"/>
      <c r="AJ229" s="1142"/>
      <c r="AK229" s="1137">
        <f t="shared" si="24"/>
        <v>4.7000000000000455</v>
      </c>
      <c r="AL229" s="1137">
        <f t="shared" si="24"/>
        <v>0</v>
      </c>
    </row>
    <row r="230" spans="1:38" hidden="1" outlineLevel="2" x14ac:dyDescent="0.3">
      <c r="A230" s="1130"/>
      <c r="B230" s="1138"/>
      <c r="C230" s="1139"/>
      <c r="D230" s="1140"/>
      <c r="E230" s="1134">
        <f t="shared" si="20"/>
        <v>923</v>
      </c>
      <c r="F230" s="1141"/>
      <c r="G230" s="1141"/>
      <c r="H230" s="1141"/>
      <c r="I230" s="1141"/>
      <c r="J230" s="1141"/>
      <c r="K230" s="1135">
        <f t="shared" si="21"/>
        <v>36</v>
      </c>
      <c r="L230" s="1141"/>
      <c r="M230" s="1141"/>
      <c r="N230" s="1141"/>
      <c r="O230" s="1141"/>
      <c r="P230" s="1141"/>
      <c r="Q230" s="1141"/>
      <c r="R230" s="1141"/>
      <c r="S230" s="1141"/>
      <c r="T230" s="1141"/>
      <c r="U230" s="1135">
        <f t="shared" si="18"/>
        <v>800</v>
      </c>
      <c r="V230" s="1141"/>
      <c r="W230" s="1141"/>
      <c r="X230" s="1141"/>
      <c r="Y230" s="1141"/>
      <c r="Z230" s="1141"/>
      <c r="AA230" s="1141"/>
      <c r="AB230" s="1141"/>
      <c r="AC230" s="1141"/>
      <c r="AD230" s="1141"/>
      <c r="AE230" s="1135">
        <f t="shared" si="22"/>
        <v>55.5</v>
      </c>
      <c r="AF230" s="1141"/>
      <c r="AG230" s="1135">
        <f t="shared" si="23"/>
        <v>26.8</v>
      </c>
      <c r="AH230" s="1141"/>
      <c r="AI230" s="1141"/>
      <c r="AJ230" s="1142"/>
      <c r="AK230" s="1137">
        <f t="shared" si="24"/>
        <v>4.7000000000000455</v>
      </c>
      <c r="AL230" s="1137">
        <f t="shared" si="24"/>
        <v>0</v>
      </c>
    </row>
    <row r="231" spans="1:38" hidden="1" outlineLevel="2" x14ac:dyDescent="0.3">
      <c r="A231" s="1130"/>
      <c r="B231" s="1138"/>
      <c r="C231" s="1139"/>
      <c r="D231" s="1140"/>
      <c r="E231" s="1134">
        <f t="shared" si="20"/>
        <v>923</v>
      </c>
      <c r="F231" s="1141"/>
      <c r="G231" s="1141"/>
      <c r="H231" s="1141"/>
      <c r="I231" s="1141"/>
      <c r="J231" s="1141"/>
      <c r="K231" s="1135">
        <f t="shared" si="21"/>
        <v>36</v>
      </c>
      <c r="L231" s="1141"/>
      <c r="M231" s="1141"/>
      <c r="N231" s="1141"/>
      <c r="O231" s="1141"/>
      <c r="P231" s="1141"/>
      <c r="Q231" s="1141"/>
      <c r="R231" s="1141"/>
      <c r="S231" s="1141"/>
      <c r="T231" s="1141"/>
      <c r="U231" s="1135">
        <f t="shared" si="18"/>
        <v>800</v>
      </c>
      <c r="V231" s="1141"/>
      <c r="W231" s="1141"/>
      <c r="X231" s="1141"/>
      <c r="Y231" s="1141"/>
      <c r="Z231" s="1141"/>
      <c r="AA231" s="1141"/>
      <c r="AB231" s="1141"/>
      <c r="AC231" s="1141"/>
      <c r="AD231" s="1141"/>
      <c r="AE231" s="1135">
        <f t="shared" si="22"/>
        <v>55.5</v>
      </c>
      <c r="AF231" s="1141"/>
      <c r="AG231" s="1135">
        <f t="shared" si="23"/>
        <v>26.8</v>
      </c>
      <c r="AH231" s="1141"/>
      <c r="AI231" s="1141"/>
      <c r="AJ231" s="1142"/>
      <c r="AK231" s="1137">
        <f t="shared" si="24"/>
        <v>4.7000000000000455</v>
      </c>
      <c r="AL231" s="1137">
        <f t="shared" si="24"/>
        <v>0</v>
      </c>
    </row>
    <row r="232" spans="1:38" hidden="1" outlineLevel="2" x14ac:dyDescent="0.3">
      <c r="A232" s="1130"/>
      <c r="B232" s="1138"/>
      <c r="C232" s="1139"/>
      <c r="D232" s="1140"/>
      <c r="E232" s="1134">
        <f t="shared" si="20"/>
        <v>923</v>
      </c>
      <c r="F232" s="1141"/>
      <c r="G232" s="1141"/>
      <c r="H232" s="1141"/>
      <c r="I232" s="1141"/>
      <c r="J232" s="1141"/>
      <c r="K232" s="1135">
        <f t="shared" si="21"/>
        <v>36</v>
      </c>
      <c r="L232" s="1141"/>
      <c r="M232" s="1141"/>
      <c r="N232" s="1141"/>
      <c r="O232" s="1141"/>
      <c r="P232" s="1141"/>
      <c r="Q232" s="1141"/>
      <c r="R232" s="1141"/>
      <c r="S232" s="1141"/>
      <c r="T232" s="1141"/>
      <c r="U232" s="1135">
        <f t="shared" si="18"/>
        <v>800</v>
      </c>
      <c r="V232" s="1141"/>
      <c r="W232" s="1141"/>
      <c r="X232" s="1141"/>
      <c r="Y232" s="1141"/>
      <c r="Z232" s="1141"/>
      <c r="AA232" s="1141"/>
      <c r="AB232" s="1141"/>
      <c r="AC232" s="1141"/>
      <c r="AD232" s="1141"/>
      <c r="AE232" s="1135">
        <f t="shared" si="22"/>
        <v>55.5</v>
      </c>
      <c r="AF232" s="1141"/>
      <c r="AG232" s="1135">
        <f t="shared" si="23"/>
        <v>26.8</v>
      </c>
      <c r="AH232" s="1141"/>
      <c r="AI232" s="1141"/>
      <c r="AJ232" s="1142"/>
      <c r="AK232" s="1137">
        <f t="shared" si="24"/>
        <v>4.7000000000000455</v>
      </c>
      <c r="AL232" s="1137">
        <f t="shared" si="24"/>
        <v>0</v>
      </c>
    </row>
    <row r="233" spans="1:38" hidden="1" outlineLevel="2" x14ac:dyDescent="0.3">
      <c r="A233" s="1130"/>
      <c r="B233" s="1138"/>
      <c r="C233" s="1139"/>
      <c r="D233" s="1140"/>
      <c r="E233" s="1134">
        <f t="shared" si="20"/>
        <v>923</v>
      </c>
      <c r="F233" s="1141"/>
      <c r="G233" s="1141"/>
      <c r="H233" s="1141"/>
      <c r="I233" s="1141"/>
      <c r="J233" s="1141"/>
      <c r="K233" s="1135">
        <f t="shared" si="21"/>
        <v>36</v>
      </c>
      <c r="L233" s="1141"/>
      <c r="M233" s="1141"/>
      <c r="N233" s="1141"/>
      <c r="O233" s="1141"/>
      <c r="P233" s="1141"/>
      <c r="Q233" s="1141"/>
      <c r="R233" s="1141"/>
      <c r="S233" s="1141"/>
      <c r="T233" s="1141"/>
      <c r="U233" s="1135">
        <f t="shared" si="18"/>
        <v>800</v>
      </c>
      <c r="V233" s="1141"/>
      <c r="W233" s="1141"/>
      <c r="X233" s="1141"/>
      <c r="Y233" s="1141"/>
      <c r="Z233" s="1141"/>
      <c r="AA233" s="1141"/>
      <c r="AB233" s="1141"/>
      <c r="AC233" s="1141"/>
      <c r="AD233" s="1141"/>
      <c r="AE233" s="1135">
        <f t="shared" si="22"/>
        <v>55.5</v>
      </c>
      <c r="AF233" s="1141"/>
      <c r="AG233" s="1135">
        <f t="shared" si="23"/>
        <v>26.8</v>
      </c>
      <c r="AH233" s="1141"/>
      <c r="AI233" s="1141"/>
      <c r="AJ233" s="1142"/>
      <c r="AK233" s="1137">
        <f t="shared" si="24"/>
        <v>4.7000000000000455</v>
      </c>
      <c r="AL233" s="1137">
        <f t="shared" si="24"/>
        <v>0</v>
      </c>
    </row>
    <row r="234" spans="1:38" hidden="1" outlineLevel="2" x14ac:dyDescent="0.3">
      <c r="A234" s="1130"/>
      <c r="B234" s="1138"/>
      <c r="C234" s="1139"/>
      <c r="D234" s="1140"/>
      <c r="E234" s="1134">
        <f t="shared" si="20"/>
        <v>923</v>
      </c>
      <c r="F234" s="1141"/>
      <c r="G234" s="1141"/>
      <c r="H234" s="1141"/>
      <c r="I234" s="1141"/>
      <c r="J234" s="1141"/>
      <c r="K234" s="1135">
        <f t="shared" si="21"/>
        <v>36</v>
      </c>
      <c r="L234" s="1141"/>
      <c r="M234" s="1141"/>
      <c r="N234" s="1141"/>
      <c r="O234" s="1141"/>
      <c r="P234" s="1141"/>
      <c r="Q234" s="1141"/>
      <c r="R234" s="1141"/>
      <c r="S234" s="1141"/>
      <c r="T234" s="1141"/>
      <c r="U234" s="1135">
        <f t="shared" si="18"/>
        <v>800</v>
      </c>
      <c r="V234" s="1141"/>
      <c r="W234" s="1141"/>
      <c r="X234" s="1141"/>
      <c r="Y234" s="1141"/>
      <c r="Z234" s="1141"/>
      <c r="AA234" s="1141"/>
      <c r="AB234" s="1141"/>
      <c r="AC234" s="1141"/>
      <c r="AD234" s="1141"/>
      <c r="AE234" s="1135">
        <f t="shared" si="22"/>
        <v>55.5</v>
      </c>
      <c r="AF234" s="1141"/>
      <c r="AG234" s="1135">
        <f t="shared" si="23"/>
        <v>26.8</v>
      </c>
      <c r="AH234" s="1141"/>
      <c r="AI234" s="1141"/>
      <c r="AJ234" s="1142"/>
      <c r="AK234" s="1137">
        <f t="shared" si="24"/>
        <v>4.7000000000000455</v>
      </c>
      <c r="AL234" s="1137">
        <f t="shared" si="24"/>
        <v>0</v>
      </c>
    </row>
    <row r="235" spans="1:38" hidden="1" outlineLevel="2" x14ac:dyDescent="0.3">
      <c r="A235" s="1130"/>
      <c r="B235" s="1138"/>
      <c r="C235" s="1139"/>
      <c r="D235" s="1140"/>
      <c r="E235" s="1134">
        <f t="shared" si="20"/>
        <v>923</v>
      </c>
      <c r="F235" s="1141"/>
      <c r="G235" s="1141"/>
      <c r="H235" s="1141"/>
      <c r="I235" s="1141"/>
      <c r="J235" s="1141"/>
      <c r="K235" s="1135">
        <f t="shared" si="21"/>
        <v>36</v>
      </c>
      <c r="L235" s="1141"/>
      <c r="M235" s="1141"/>
      <c r="N235" s="1141"/>
      <c r="O235" s="1141"/>
      <c r="P235" s="1141"/>
      <c r="Q235" s="1141"/>
      <c r="R235" s="1141"/>
      <c r="S235" s="1141"/>
      <c r="T235" s="1141"/>
      <c r="U235" s="1135">
        <f t="shared" si="18"/>
        <v>800</v>
      </c>
      <c r="V235" s="1141"/>
      <c r="W235" s="1141"/>
      <c r="X235" s="1141"/>
      <c r="Y235" s="1141"/>
      <c r="Z235" s="1141"/>
      <c r="AA235" s="1141"/>
      <c r="AB235" s="1141"/>
      <c r="AC235" s="1141"/>
      <c r="AD235" s="1141"/>
      <c r="AE235" s="1135">
        <f t="shared" si="22"/>
        <v>55.5</v>
      </c>
      <c r="AF235" s="1141"/>
      <c r="AG235" s="1135">
        <f t="shared" si="23"/>
        <v>26.8</v>
      </c>
      <c r="AH235" s="1141"/>
      <c r="AI235" s="1141"/>
      <c r="AJ235" s="1142"/>
      <c r="AK235" s="1137">
        <f t="shared" si="24"/>
        <v>4.7000000000000455</v>
      </c>
      <c r="AL235" s="1137">
        <f t="shared" si="24"/>
        <v>0</v>
      </c>
    </row>
    <row r="236" spans="1:38" hidden="1" outlineLevel="2" x14ac:dyDescent="0.3">
      <c r="A236" s="1130"/>
      <c r="B236" s="1138"/>
      <c r="C236" s="1139"/>
      <c r="D236" s="1140"/>
      <c r="E236" s="1134">
        <f t="shared" si="20"/>
        <v>923</v>
      </c>
      <c r="F236" s="1141"/>
      <c r="G236" s="1141"/>
      <c r="H236" s="1141"/>
      <c r="I236" s="1141"/>
      <c r="J236" s="1141"/>
      <c r="K236" s="1135">
        <f t="shared" si="21"/>
        <v>36</v>
      </c>
      <c r="L236" s="1141"/>
      <c r="M236" s="1141"/>
      <c r="N236" s="1141"/>
      <c r="O236" s="1141"/>
      <c r="P236" s="1141"/>
      <c r="Q236" s="1141"/>
      <c r="R236" s="1141"/>
      <c r="S236" s="1141"/>
      <c r="T236" s="1141"/>
      <c r="U236" s="1135">
        <f t="shared" si="18"/>
        <v>800</v>
      </c>
      <c r="V236" s="1141"/>
      <c r="W236" s="1141"/>
      <c r="X236" s="1141"/>
      <c r="Y236" s="1141"/>
      <c r="Z236" s="1141"/>
      <c r="AA236" s="1141"/>
      <c r="AB236" s="1141"/>
      <c r="AC236" s="1141"/>
      <c r="AD236" s="1141"/>
      <c r="AE236" s="1135">
        <f t="shared" si="22"/>
        <v>55.5</v>
      </c>
      <c r="AF236" s="1141"/>
      <c r="AG236" s="1135">
        <f t="shared" si="23"/>
        <v>26.8</v>
      </c>
      <c r="AH236" s="1141"/>
      <c r="AI236" s="1141"/>
      <c r="AJ236" s="1142"/>
      <c r="AK236" s="1137">
        <f t="shared" si="24"/>
        <v>4.7000000000000455</v>
      </c>
      <c r="AL236" s="1137">
        <f t="shared" si="24"/>
        <v>0</v>
      </c>
    </row>
    <row r="237" spans="1:38" hidden="1" outlineLevel="2" x14ac:dyDescent="0.3">
      <c r="A237" s="1130"/>
      <c r="B237" s="1138"/>
      <c r="C237" s="1139"/>
      <c r="D237" s="1140"/>
      <c r="E237" s="1134">
        <f t="shared" si="20"/>
        <v>923</v>
      </c>
      <c r="F237" s="1141"/>
      <c r="G237" s="1141"/>
      <c r="H237" s="1141"/>
      <c r="I237" s="1141"/>
      <c r="J237" s="1141"/>
      <c r="K237" s="1135">
        <f t="shared" si="21"/>
        <v>36</v>
      </c>
      <c r="L237" s="1141"/>
      <c r="M237" s="1141"/>
      <c r="N237" s="1141"/>
      <c r="O237" s="1141"/>
      <c r="P237" s="1141"/>
      <c r="Q237" s="1141"/>
      <c r="R237" s="1141"/>
      <c r="S237" s="1141"/>
      <c r="T237" s="1141"/>
      <c r="U237" s="1135">
        <f t="shared" si="18"/>
        <v>800</v>
      </c>
      <c r="V237" s="1141"/>
      <c r="W237" s="1141"/>
      <c r="X237" s="1141"/>
      <c r="Y237" s="1141"/>
      <c r="Z237" s="1141"/>
      <c r="AA237" s="1141"/>
      <c r="AB237" s="1141"/>
      <c r="AC237" s="1141"/>
      <c r="AD237" s="1141"/>
      <c r="AE237" s="1135">
        <f t="shared" si="22"/>
        <v>55.5</v>
      </c>
      <c r="AF237" s="1141"/>
      <c r="AG237" s="1135">
        <f t="shared" si="23"/>
        <v>26.8</v>
      </c>
      <c r="AH237" s="1141"/>
      <c r="AI237" s="1141"/>
      <c r="AJ237" s="1142"/>
      <c r="AK237" s="1137">
        <f t="shared" si="24"/>
        <v>4.7000000000000455</v>
      </c>
      <c r="AL237" s="1137">
        <f t="shared" si="24"/>
        <v>0</v>
      </c>
    </row>
    <row r="238" spans="1:38" hidden="1" outlineLevel="2" x14ac:dyDescent="0.3">
      <c r="A238" s="1130"/>
      <c r="B238" s="1138"/>
      <c r="C238" s="1139"/>
      <c r="D238" s="1140"/>
      <c r="E238" s="1134">
        <f t="shared" si="20"/>
        <v>923</v>
      </c>
      <c r="F238" s="1141"/>
      <c r="G238" s="1141"/>
      <c r="H238" s="1141"/>
      <c r="I238" s="1141"/>
      <c r="J238" s="1141"/>
      <c r="K238" s="1135">
        <f t="shared" si="21"/>
        <v>36</v>
      </c>
      <c r="L238" s="1141"/>
      <c r="M238" s="1141"/>
      <c r="N238" s="1141"/>
      <c r="O238" s="1141"/>
      <c r="P238" s="1141"/>
      <c r="Q238" s="1141"/>
      <c r="R238" s="1141"/>
      <c r="S238" s="1141"/>
      <c r="T238" s="1141"/>
      <c r="U238" s="1135">
        <f t="shared" si="18"/>
        <v>800</v>
      </c>
      <c r="V238" s="1141"/>
      <c r="W238" s="1141"/>
      <c r="X238" s="1141"/>
      <c r="Y238" s="1141"/>
      <c r="Z238" s="1141"/>
      <c r="AA238" s="1141"/>
      <c r="AB238" s="1141"/>
      <c r="AC238" s="1141"/>
      <c r="AD238" s="1141"/>
      <c r="AE238" s="1135">
        <f t="shared" si="22"/>
        <v>55.5</v>
      </c>
      <c r="AF238" s="1141"/>
      <c r="AG238" s="1135">
        <f t="shared" si="23"/>
        <v>26.8</v>
      </c>
      <c r="AH238" s="1141"/>
      <c r="AI238" s="1141"/>
      <c r="AJ238" s="1142"/>
      <c r="AK238" s="1137">
        <f t="shared" si="24"/>
        <v>4.7000000000000455</v>
      </c>
      <c r="AL238" s="1137">
        <f t="shared" si="24"/>
        <v>0</v>
      </c>
    </row>
    <row r="239" spans="1:38" hidden="1" outlineLevel="2" x14ac:dyDescent="0.3">
      <c r="A239" s="1130"/>
      <c r="B239" s="1138"/>
      <c r="C239" s="1139"/>
      <c r="D239" s="1140"/>
      <c r="E239" s="1134">
        <f t="shared" si="20"/>
        <v>923</v>
      </c>
      <c r="F239" s="1141"/>
      <c r="G239" s="1141"/>
      <c r="H239" s="1141"/>
      <c r="I239" s="1141"/>
      <c r="J239" s="1141"/>
      <c r="K239" s="1135">
        <f t="shared" si="21"/>
        <v>36</v>
      </c>
      <c r="L239" s="1141"/>
      <c r="M239" s="1141"/>
      <c r="N239" s="1141"/>
      <c r="O239" s="1141"/>
      <c r="P239" s="1141"/>
      <c r="Q239" s="1141"/>
      <c r="R239" s="1141"/>
      <c r="S239" s="1141"/>
      <c r="T239" s="1141"/>
      <c r="U239" s="1135">
        <f t="shared" si="18"/>
        <v>800</v>
      </c>
      <c r="V239" s="1141"/>
      <c r="W239" s="1141"/>
      <c r="X239" s="1141"/>
      <c r="Y239" s="1141"/>
      <c r="Z239" s="1141"/>
      <c r="AA239" s="1141"/>
      <c r="AB239" s="1141"/>
      <c r="AC239" s="1141"/>
      <c r="AD239" s="1141"/>
      <c r="AE239" s="1135">
        <f t="shared" si="22"/>
        <v>55.5</v>
      </c>
      <c r="AF239" s="1141"/>
      <c r="AG239" s="1135">
        <f t="shared" si="23"/>
        <v>26.8</v>
      </c>
      <c r="AH239" s="1141"/>
      <c r="AI239" s="1141"/>
      <c r="AJ239" s="1142"/>
      <c r="AK239" s="1137">
        <f t="shared" si="24"/>
        <v>4.7000000000000455</v>
      </c>
      <c r="AL239" s="1137">
        <f t="shared" si="24"/>
        <v>0</v>
      </c>
    </row>
    <row r="240" spans="1:38" hidden="1" outlineLevel="2" x14ac:dyDescent="0.3">
      <c r="A240" s="1130"/>
      <c r="B240" s="1138"/>
      <c r="C240" s="1139"/>
      <c r="D240" s="1140"/>
      <c r="E240" s="1134">
        <f t="shared" si="20"/>
        <v>923</v>
      </c>
      <c r="F240" s="1141"/>
      <c r="G240" s="1141"/>
      <c r="H240" s="1141"/>
      <c r="I240" s="1141"/>
      <c r="J240" s="1141"/>
      <c r="K240" s="1135">
        <f t="shared" si="21"/>
        <v>36</v>
      </c>
      <c r="L240" s="1141"/>
      <c r="M240" s="1141"/>
      <c r="N240" s="1141"/>
      <c r="O240" s="1141"/>
      <c r="P240" s="1141"/>
      <c r="Q240" s="1141"/>
      <c r="R240" s="1141"/>
      <c r="S240" s="1141"/>
      <c r="T240" s="1141"/>
      <c r="U240" s="1135">
        <f t="shared" si="18"/>
        <v>800</v>
      </c>
      <c r="V240" s="1141"/>
      <c r="W240" s="1141"/>
      <c r="X240" s="1141"/>
      <c r="Y240" s="1141"/>
      <c r="Z240" s="1141"/>
      <c r="AA240" s="1141"/>
      <c r="AB240" s="1141"/>
      <c r="AC240" s="1141"/>
      <c r="AD240" s="1141"/>
      <c r="AE240" s="1135">
        <f t="shared" si="22"/>
        <v>55.5</v>
      </c>
      <c r="AF240" s="1141"/>
      <c r="AG240" s="1135">
        <f t="shared" si="23"/>
        <v>26.8</v>
      </c>
      <c r="AH240" s="1141"/>
      <c r="AI240" s="1141"/>
      <c r="AJ240" s="1142"/>
      <c r="AK240" s="1137">
        <f t="shared" si="24"/>
        <v>4.7000000000000455</v>
      </c>
      <c r="AL240" s="1137">
        <f t="shared" si="24"/>
        <v>0</v>
      </c>
    </row>
    <row r="241" spans="1:38" hidden="1" outlineLevel="2" x14ac:dyDescent="0.3">
      <c r="A241" s="1130"/>
      <c r="B241" s="1138"/>
      <c r="C241" s="1139"/>
      <c r="D241" s="1140"/>
      <c r="E241" s="1134">
        <f t="shared" si="20"/>
        <v>923</v>
      </c>
      <c r="F241" s="1141"/>
      <c r="G241" s="1141"/>
      <c r="H241" s="1141"/>
      <c r="I241" s="1141"/>
      <c r="J241" s="1141"/>
      <c r="K241" s="1135">
        <f t="shared" si="21"/>
        <v>36</v>
      </c>
      <c r="L241" s="1141"/>
      <c r="M241" s="1141"/>
      <c r="N241" s="1141"/>
      <c r="O241" s="1141"/>
      <c r="P241" s="1141"/>
      <c r="Q241" s="1141"/>
      <c r="R241" s="1141"/>
      <c r="S241" s="1141"/>
      <c r="T241" s="1141"/>
      <c r="U241" s="1135">
        <f t="shared" si="18"/>
        <v>800</v>
      </c>
      <c r="V241" s="1141"/>
      <c r="W241" s="1141"/>
      <c r="X241" s="1141"/>
      <c r="Y241" s="1141"/>
      <c r="Z241" s="1141"/>
      <c r="AA241" s="1141"/>
      <c r="AB241" s="1141"/>
      <c r="AC241" s="1141"/>
      <c r="AD241" s="1141"/>
      <c r="AE241" s="1135">
        <f t="shared" si="22"/>
        <v>55.5</v>
      </c>
      <c r="AF241" s="1141"/>
      <c r="AG241" s="1135">
        <f t="shared" si="23"/>
        <v>26.8</v>
      </c>
      <c r="AH241" s="1141"/>
      <c r="AI241" s="1141"/>
      <c r="AJ241" s="1142"/>
      <c r="AK241" s="1137">
        <f t="shared" si="24"/>
        <v>4.7000000000000455</v>
      </c>
      <c r="AL241" s="1137">
        <f t="shared" si="24"/>
        <v>0</v>
      </c>
    </row>
    <row r="242" spans="1:38" hidden="1" outlineLevel="2" x14ac:dyDescent="0.3">
      <c r="A242" s="1130"/>
      <c r="B242" s="1138"/>
      <c r="C242" s="1139"/>
      <c r="D242" s="1140"/>
      <c r="E242" s="1134">
        <f t="shared" si="20"/>
        <v>923</v>
      </c>
      <c r="F242" s="1141"/>
      <c r="G242" s="1141"/>
      <c r="H242" s="1141"/>
      <c r="I242" s="1141"/>
      <c r="J242" s="1141"/>
      <c r="K242" s="1135">
        <f t="shared" si="21"/>
        <v>36</v>
      </c>
      <c r="L242" s="1141"/>
      <c r="M242" s="1141"/>
      <c r="N242" s="1141"/>
      <c r="O242" s="1141"/>
      <c r="P242" s="1141"/>
      <c r="Q242" s="1141"/>
      <c r="R242" s="1141"/>
      <c r="S242" s="1141"/>
      <c r="T242" s="1141"/>
      <c r="U242" s="1135">
        <f t="shared" si="18"/>
        <v>800</v>
      </c>
      <c r="V242" s="1141"/>
      <c r="W242" s="1141"/>
      <c r="X242" s="1141"/>
      <c r="Y242" s="1141"/>
      <c r="Z242" s="1141"/>
      <c r="AA242" s="1141"/>
      <c r="AB242" s="1141"/>
      <c r="AC242" s="1141"/>
      <c r="AD242" s="1141"/>
      <c r="AE242" s="1135">
        <f t="shared" si="22"/>
        <v>55.5</v>
      </c>
      <c r="AF242" s="1141"/>
      <c r="AG242" s="1135">
        <f t="shared" si="23"/>
        <v>26.8</v>
      </c>
      <c r="AH242" s="1141"/>
      <c r="AI242" s="1141"/>
      <c r="AJ242" s="1142"/>
      <c r="AK242" s="1137">
        <f t="shared" si="24"/>
        <v>4.7000000000000455</v>
      </c>
      <c r="AL242" s="1137">
        <f t="shared" si="24"/>
        <v>0</v>
      </c>
    </row>
    <row r="243" spans="1:38" hidden="1" outlineLevel="2" x14ac:dyDescent="0.3">
      <c r="A243" s="1130"/>
      <c r="B243" s="1138"/>
      <c r="C243" s="1139"/>
      <c r="D243" s="1140"/>
      <c r="E243" s="1134">
        <f t="shared" si="20"/>
        <v>923</v>
      </c>
      <c r="F243" s="1141"/>
      <c r="G243" s="1141"/>
      <c r="H243" s="1141"/>
      <c r="I243" s="1141"/>
      <c r="J243" s="1141"/>
      <c r="K243" s="1135">
        <f t="shared" si="21"/>
        <v>36</v>
      </c>
      <c r="L243" s="1141"/>
      <c r="M243" s="1141"/>
      <c r="N243" s="1141"/>
      <c r="O243" s="1141"/>
      <c r="P243" s="1141"/>
      <c r="Q243" s="1141"/>
      <c r="R243" s="1141"/>
      <c r="S243" s="1141"/>
      <c r="T243" s="1141"/>
      <c r="U243" s="1135">
        <f t="shared" si="18"/>
        <v>800</v>
      </c>
      <c r="V243" s="1141"/>
      <c r="W243" s="1141"/>
      <c r="X243" s="1141"/>
      <c r="Y243" s="1141"/>
      <c r="Z243" s="1141"/>
      <c r="AA243" s="1141"/>
      <c r="AB243" s="1141"/>
      <c r="AC243" s="1141"/>
      <c r="AD243" s="1141"/>
      <c r="AE243" s="1135">
        <f t="shared" si="22"/>
        <v>55.5</v>
      </c>
      <c r="AF243" s="1141"/>
      <c r="AG243" s="1135">
        <f t="shared" si="23"/>
        <v>26.8</v>
      </c>
      <c r="AH243" s="1141"/>
      <c r="AI243" s="1141"/>
      <c r="AJ243" s="1142"/>
      <c r="AK243" s="1137">
        <f t="shared" si="24"/>
        <v>4.7000000000000455</v>
      </c>
      <c r="AL243" s="1137">
        <f t="shared" si="24"/>
        <v>0</v>
      </c>
    </row>
    <row r="244" spans="1:38" hidden="1" outlineLevel="2" x14ac:dyDescent="0.3">
      <c r="A244" s="1130"/>
      <c r="B244" s="1138"/>
      <c r="C244" s="1139"/>
      <c r="D244" s="1140"/>
      <c r="E244" s="1134">
        <f t="shared" si="20"/>
        <v>923</v>
      </c>
      <c r="F244" s="1141"/>
      <c r="G244" s="1141"/>
      <c r="H244" s="1141"/>
      <c r="I244" s="1141"/>
      <c r="J244" s="1141"/>
      <c r="K244" s="1135">
        <f t="shared" si="21"/>
        <v>36</v>
      </c>
      <c r="L244" s="1141"/>
      <c r="M244" s="1141"/>
      <c r="N244" s="1141"/>
      <c r="O244" s="1141"/>
      <c r="P244" s="1141"/>
      <c r="Q244" s="1141"/>
      <c r="R244" s="1141"/>
      <c r="S244" s="1141"/>
      <c r="T244" s="1141"/>
      <c r="U244" s="1135">
        <f t="shared" si="18"/>
        <v>800</v>
      </c>
      <c r="V244" s="1141"/>
      <c r="W244" s="1141"/>
      <c r="X244" s="1141"/>
      <c r="Y244" s="1141"/>
      <c r="Z244" s="1141"/>
      <c r="AA244" s="1141"/>
      <c r="AB244" s="1141"/>
      <c r="AC244" s="1141"/>
      <c r="AD244" s="1141"/>
      <c r="AE244" s="1135">
        <f t="shared" si="22"/>
        <v>55.5</v>
      </c>
      <c r="AF244" s="1141"/>
      <c r="AG244" s="1135">
        <f t="shared" si="23"/>
        <v>26.8</v>
      </c>
      <c r="AH244" s="1141"/>
      <c r="AI244" s="1141"/>
      <c r="AJ244" s="1142"/>
      <c r="AK244" s="1137">
        <f t="shared" si="24"/>
        <v>4.7000000000000455</v>
      </c>
      <c r="AL244" s="1137">
        <f t="shared" si="24"/>
        <v>0</v>
      </c>
    </row>
    <row r="245" spans="1:38" hidden="1" outlineLevel="2" x14ac:dyDescent="0.3">
      <c r="A245" s="1130"/>
      <c r="B245" s="1138"/>
      <c r="C245" s="1139"/>
      <c r="D245" s="1140"/>
      <c r="E245" s="1134">
        <f t="shared" si="20"/>
        <v>923</v>
      </c>
      <c r="F245" s="1141"/>
      <c r="G245" s="1141"/>
      <c r="H245" s="1141"/>
      <c r="I245" s="1141"/>
      <c r="J245" s="1141"/>
      <c r="K245" s="1135">
        <f t="shared" si="21"/>
        <v>36</v>
      </c>
      <c r="L245" s="1141"/>
      <c r="M245" s="1141"/>
      <c r="N245" s="1141"/>
      <c r="O245" s="1141"/>
      <c r="P245" s="1141"/>
      <c r="Q245" s="1141"/>
      <c r="R245" s="1141"/>
      <c r="S245" s="1141"/>
      <c r="T245" s="1141"/>
      <c r="U245" s="1135">
        <f t="shared" si="18"/>
        <v>800</v>
      </c>
      <c r="V245" s="1141"/>
      <c r="W245" s="1141"/>
      <c r="X245" s="1141"/>
      <c r="Y245" s="1141"/>
      <c r="Z245" s="1141"/>
      <c r="AA245" s="1141"/>
      <c r="AB245" s="1141"/>
      <c r="AC245" s="1141"/>
      <c r="AD245" s="1141"/>
      <c r="AE245" s="1135">
        <f t="shared" si="22"/>
        <v>55.5</v>
      </c>
      <c r="AF245" s="1141"/>
      <c r="AG245" s="1135">
        <f t="shared" si="23"/>
        <v>26.8</v>
      </c>
      <c r="AH245" s="1141"/>
      <c r="AI245" s="1141"/>
      <c r="AJ245" s="1142"/>
      <c r="AK245" s="1137">
        <f t="shared" si="24"/>
        <v>4.7000000000000455</v>
      </c>
      <c r="AL245" s="1137">
        <f t="shared" si="24"/>
        <v>0</v>
      </c>
    </row>
    <row r="246" spans="1:38" hidden="1" outlineLevel="2" x14ac:dyDescent="0.3">
      <c r="A246" s="1130"/>
      <c r="B246" s="1138"/>
      <c r="C246" s="1139"/>
      <c r="D246" s="1140"/>
      <c r="E246" s="1143"/>
      <c r="F246" s="1141"/>
      <c r="G246" s="1141"/>
      <c r="H246" s="1141"/>
      <c r="I246" s="1141"/>
      <c r="J246" s="1141"/>
      <c r="K246" s="1141"/>
      <c r="L246" s="1141"/>
      <c r="M246" s="1141"/>
      <c r="N246" s="1141"/>
      <c r="O246" s="1141"/>
      <c r="P246" s="1141"/>
      <c r="Q246" s="1141"/>
      <c r="R246" s="1141"/>
      <c r="S246" s="1141"/>
      <c r="T246" s="1141"/>
      <c r="U246" s="1135"/>
      <c r="V246" s="1141"/>
      <c r="W246" s="1141"/>
      <c r="X246" s="1141"/>
      <c r="Y246" s="1141"/>
      <c r="Z246" s="1141"/>
      <c r="AA246" s="1141"/>
      <c r="AB246" s="1141"/>
      <c r="AC246" s="1141"/>
      <c r="AD246" s="1141"/>
      <c r="AE246" s="1135"/>
      <c r="AF246" s="1141"/>
      <c r="AG246" s="1135"/>
      <c r="AH246" s="1141"/>
      <c r="AI246" s="1141"/>
      <c r="AJ246" s="1142"/>
      <c r="AK246" s="1137">
        <f t="shared" si="24"/>
        <v>0</v>
      </c>
      <c r="AL246" s="1144">
        <f t="shared" si="24"/>
        <v>0</v>
      </c>
    </row>
    <row r="247" spans="1:38" hidden="1" outlineLevel="2" x14ac:dyDescent="0.3">
      <c r="A247" s="1130"/>
      <c r="B247" s="1138"/>
      <c r="C247" s="1139"/>
      <c r="D247" s="1140"/>
      <c r="E247" s="1143"/>
      <c r="F247" s="1141"/>
      <c r="G247" s="1141"/>
      <c r="H247" s="1141"/>
      <c r="I247" s="1141"/>
      <c r="J247" s="1141"/>
      <c r="K247" s="1141"/>
      <c r="L247" s="1141"/>
      <c r="M247" s="1141"/>
      <c r="N247" s="1141"/>
      <c r="O247" s="1141"/>
      <c r="P247" s="1141"/>
      <c r="Q247" s="1141"/>
      <c r="R247" s="1141"/>
      <c r="S247" s="1141"/>
      <c r="T247" s="1141"/>
      <c r="U247" s="1141"/>
      <c r="V247" s="1141"/>
      <c r="W247" s="1141"/>
      <c r="X247" s="1141"/>
      <c r="Y247" s="1141"/>
      <c r="Z247" s="1141"/>
      <c r="AA247" s="1141"/>
      <c r="AB247" s="1141"/>
      <c r="AC247" s="1141"/>
      <c r="AD247" s="1141"/>
      <c r="AE247" s="1141"/>
      <c r="AF247" s="1141"/>
      <c r="AG247" s="1141"/>
      <c r="AH247" s="1141"/>
      <c r="AI247" s="1141"/>
      <c r="AJ247" s="1142"/>
      <c r="AK247" s="1142">
        <f t="shared" ref="AK247:AL268" si="25">SUM(E247,G247,I247)-SUM(K247,M247,O247,Q247,S247,U247,W247,Y247,AA247,AC247,AE247,AG247,AI247)</f>
        <v>0</v>
      </c>
      <c r="AL247" s="1144">
        <f t="shared" si="25"/>
        <v>0</v>
      </c>
    </row>
    <row r="248" spans="1:38" ht="15" outlineLevel="1" collapsed="1" thickBot="1" x14ac:dyDescent="0.35">
      <c r="A248" s="1130"/>
      <c r="B248" s="1145" t="s">
        <v>550</v>
      </c>
      <c r="C248" s="1146"/>
      <c r="D248" s="1147"/>
      <c r="E248" s="1148">
        <f t="shared" ref="E248:AJ248" si="26">SUBTOTAL(9,E196:E247)</f>
        <v>46150</v>
      </c>
      <c r="F248" s="1149">
        <f t="shared" si="26"/>
        <v>7435.1000000000013</v>
      </c>
      <c r="G248" s="1149">
        <f t="shared" si="26"/>
        <v>0</v>
      </c>
      <c r="H248" s="1149">
        <f t="shared" si="26"/>
        <v>0</v>
      </c>
      <c r="I248" s="1149">
        <f t="shared" si="26"/>
        <v>0</v>
      </c>
      <c r="J248" s="1149">
        <f t="shared" si="26"/>
        <v>0</v>
      </c>
      <c r="K248" s="1149">
        <f t="shared" si="26"/>
        <v>1800</v>
      </c>
      <c r="L248" s="1149">
        <f t="shared" si="26"/>
        <v>0</v>
      </c>
      <c r="M248" s="1149">
        <f t="shared" si="26"/>
        <v>0</v>
      </c>
      <c r="N248" s="1149">
        <f t="shared" si="26"/>
        <v>0</v>
      </c>
      <c r="O248" s="1149">
        <f t="shared" si="26"/>
        <v>0</v>
      </c>
      <c r="P248" s="1149">
        <f t="shared" si="26"/>
        <v>0</v>
      </c>
      <c r="Q248" s="1149">
        <f t="shared" si="26"/>
        <v>0</v>
      </c>
      <c r="R248" s="1149">
        <f t="shared" si="26"/>
        <v>0</v>
      </c>
      <c r="S248" s="1149">
        <f t="shared" si="26"/>
        <v>0</v>
      </c>
      <c r="T248" s="1149">
        <f t="shared" si="26"/>
        <v>0</v>
      </c>
      <c r="U248" s="1149">
        <f t="shared" si="26"/>
        <v>40000</v>
      </c>
      <c r="V248" s="1149">
        <f t="shared" si="26"/>
        <v>0</v>
      </c>
      <c r="W248" s="1149">
        <f t="shared" si="26"/>
        <v>0</v>
      </c>
      <c r="X248" s="1149">
        <f t="shared" si="26"/>
        <v>0</v>
      </c>
      <c r="Y248" s="1149">
        <f t="shared" si="26"/>
        <v>0</v>
      </c>
      <c r="Z248" s="1149">
        <f t="shared" si="26"/>
        <v>0</v>
      </c>
      <c r="AA248" s="1149">
        <f t="shared" si="26"/>
        <v>0</v>
      </c>
      <c r="AB248" s="1149">
        <f t="shared" si="26"/>
        <v>0</v>
      </c>
      <c r="AC248" s="1149">
        <f t="shared" si="26"/>
        <v>0</v>
      </c>
      <c r="AD248" s="1149">
        <f t="shared" si="26"/>
        <v>0</v>
      </c>
      <c r="AE248" s="1149">
        <f t="shared" si="26"/>
        <v>2775</v>
      </c>
      <c r="AF248" s="1149">
        <f t="shared" si="26"/>
        <v>0</v>
      </c>
      <c r="AG248" s="1149">
        <f t="shared" si="26"/>
        <v>1339.9999999999989</v>
      </c>
      <c r="AH248" s="1149">
        <f t="shared" si="26"/>
        <v>0</v>
      </c>
      <c r="AI248" s="1149">
        <f t="shared" si="26"/>
        <v>0</v>
      </c>
      <c r="AJ248" s="1149">
        <f t="shared" si="26"/>
        <v>0</v>
      </c>
      <c r="AK248" s="1149">
        <f t="shared" si="25"/>
        <v>235</v>
      </c>
      <c r="AL248" s="1149">
        <f t="shared" si="25"/>
        <v>7435.1000000000013</v>
      </c>
    </row>
    <row r="249" spans="1:38" ht="36" outlineLevel="1" x14ac:dyDescent="0.35">
      <c r="A249" s="1150" t="s">
        <v>1460</v>
      </c>
      <c r="B249" s="1151" t="s">
        <v>751</v>
      </c>
      <c r="C249" s="1152"/>
      <c r="D249" s="1153"/>
      <c r="E249" s="1154"/>
      <c r="F249" s="1155"/>
      <c r="G249" s="1155"/>
      <c r="H249" s="1155"/>
      <c r="I249" s="1155"/>
      <c r="J249" s="1155"/>
      <c r="K249" s="1155"/>
      <c r="L249" s="1155"/>
      <c r="M249" s="1155"/>
      <c r="N249" s="1155"/>
      <c r="O249" s="1155"/>
      <c r="P249" s="1155"/>
      <c r="Q249" s="1155"/>
      <c r="R249" s="1155"/>
      <c r="S249" s="1155"/>
      <c r="T249" s="1155"/>
      <c r="U249" s="1155"/>
      <c r="V249" s="1155"/>
      <c r="W249" s="1155"/>
      <c r="X249" s="1155"/>
      <c r="Y249" s="1155"/>
      <c r="Z249" s="1155"/>
      <c r="AA249" s="1155"/>
      <c r="AB249" s="1155"/>
      <c r="AC249" s="1155"/>
      <c r="AD249" s="1155"/>
      <c r="AE249" s="1155"/>
      <c r="AF249" s="1155"/>
      <c r="AG249" s="1155">
        <v>140</v>
      </c>
      <c r="AH249" s="1155"/>
      <c r="AI249" s="1155"/>
      <c r="AJ249" s="1156"/>
      <c r="AK249" s="1156">
        <f t="shared" si="25"/>
        <v>-140</v>
      </c>
      <c r="AL249" s="1157">
        <f t="shared" si="25"/>
        <v>0</v>
      </c>
    </row>
    <row r="250" spans="1:38" hidden="1" outlineLevel="2" x14ac:dyDescent="0.3">
      <c r="A250" s="1158"/>
      <c r="B250" s="1159" t="s">
        <v>752</v>
      </c>
      <c r="C250" s="1160"/>
      <c r="D250" s="1161"/>
      <c r="E250" s="1162"/>
      <c r="F250" s="1163"/>
      <c r="G250" s="1163">
        <v>200</v>
      </c>
      <c r="H250" s="1163"/>
      <c r="I250" s="1163">
        <v>500</v>
      </c>
      <c r="J250" s="1163"/>
      <c r="K250" s="1163">
        <v>0</v>
      </c>
      <c r="L250" s="1163"/>
      <c r="M250" s="1163">
        <v>500</v>
      </c>
      <c r="N250" s="1163"/>
      <c r="O250" s="1163">
        <v>1200</v>
      </c>
      <c r="P250" s="1163"/>
      <c r="Q250" s="1163">
        <v>300</v>
      </c>
      <c r="R250" s="1163"/>
      <c r="S250" s="1163">
        <v>100</v>
      </c>
      <c r="T250" s="1163"/>
      <c r="U250" s="1163">
        <v>0</v>
      </c>
      <c r="V250" s="1163"/>
      <c r="W250" s="1163">
        <v>250</v>
      </c>
      <c r="X250" s="1163"/>
      <c r="Y250" s="1163">
        <v>100</v>
      </c>
      <c r="Z250" s="1163"/>
      <c r="AA250" s="1163">
        <v>200</v>
      </c>
      <c r="AB250" s="1163"/>
      <c r="AC250" s="1163"/>
      <c r="AD250" s="1163"/>
      <c r="AE250" s="1163">
        <v>100</v>
      </c>
      <c r="AF250" s="1163"/>
      <c r="AG250" s="1163">
        <v>500</v>
      </c>
      <c r="AH250" s="1163"/>
      <c r="AI250" s="1163">
        <v>0</v>
      </c>
      <c r="AJ250" s="1164"/>
      <c r="AK250" s="1164">
        <f t="shared" si="25"/>
        <v>-2550</v>
      </c>
      <c r="AL250" s="1165">
        <f t="shared" si="25"/>
        <v>0</v>
      </c>
    </row>
    <row r="251" spans="1:38" hidden="1" outlineLevel="2" x14ac:dyDescent="0.3">
      <c r="A251" s="1158"/>
      <c r="B251" s="1159"/>
      <c r="C251" s="1160"/>
      <c r="D251" s="1161"/>
      <c r="E251" s="1162">
        <v>0</v>
      </c>
      <c r="F251" s="1163"/>
      <c r="G251" s="1163">
        <v>0</v>
      </c>
      <c r="H251" s="1163"/>
      <c r="I251" s="1163">
        <v>0</v>
      </c>
      <c r="J251" s="1163"/>
      <c r="K251" s="1163">
        <v>0</v>
      </c>
      <c r="L251" s="1163"/>
      <c r="M251" s="1163"/>
      <c r="N251" s="1163"/>
      <c r="O251" s="1163"/>
      <c r="P251" s="1163"/>
      <c r="Q251" s="1163"/>
      <c r="R251" s="1163"/>
      <c r="S251" s="1163">
        <v>0</v>
      </c>
      <c r="T251" s="1163"/>
      <c r="U251" s="1163">
        <v>0</v>
      </c>
      <c r="V251" s="1163"/>
      <c r="W251" s="1163">
        <v>200</v>
      </c>
      <c r="X251" s="1163"/>
      <c r="Y251" s="1163">
        <v>0</v>
      </c>
      <c r="Z251" s="1163"/>
      <c r="AA251" s="1163">
        <v>0</v>
      </c>
      <c r="AB251" s="1163"/>
      <c r="AC251" s="1163">
        <v>0</v>
      </c>
      <c r="AD251" s="1163"/>
      <c r="AE251" s="1163">
        <v>1000</v>
      </c>
      <c r="AF251" s="1163"/>
      <c r="AG251" s="1163">
        <v>100</v>
      </c>
      <c r="AH251" s="1163"/>
      <c r="AI251" s="1163">
        <v>0</v>
      </c>
      <c r="AJ251" s="1164"/>
      <c r="AK251" s="1164">
        <f t="shared" si="25"/>
        <v>-1300</v>
      </c>
      <c r="AL251" s="1165">
        <f t="shared" si="25"/>
        <v>0</v>
      </c>
    </row>
    <row r="252" spans="1:38" hidden="1" outlineLevel="2" x14ac:dyDescent="0.3">
      <c r="A252" s="1158"/>
      <c r="B252" s="1159" t="s">
        <v>753</v>
      </c>
      <c r="C252" s="1160"/>
      <c r="D252" s="1161"/>
      <c r="E252" s="1162">
        <v>0</v>
      </c>
      <c r="F252" s="1163"/>
      <c r="G252" s="1163">
        <v>0</v>
      </c>
      <c r="H252" s="1163"/>
      <c r="I252" s="1163">
        <v>0</v>
      </c>
      <c r="J252" s="1163"/>
      <c r="K252" s="1163">
        <v>0</v>
      </c>
      <c r="L252" s="1163"/>
      <c r="M252" s="1163"/>
      <c r="N252" s="1163"/>
      <c r="O252" s="1163"/>
      <c r="P252" s="1163"/>
      <c r="Q252" s="1163"/>
      <c r="R252" s="1163"/>
      <c r="S252" s="1163">
        <v>0</v>
      </c>
      <c r="T252" s="1163"/>
      <c r="U252" s="1163">
        <v>0</v>
      </c>
      <c r="V252" s="1163"/>
      <c r="W252" s="1163">
        <v>0</v>
      </c>
      <c r="X252" s="1163"/>
      <c r="Y252" s="1163">
        <v>0</v>
      </c>
      <c r="Z252" s="1163"/>
      <c r="AA252" s="1163">
        <v>0</v>
      </c>
      <c r="AB252" s="1163"/>
      <c r="AC252" s="1163">
        <v>0</v>
      </c>
      <c r="AD252" s="1163"/>
      <c r="AE252" s="1163">
        <v>1300</v>
      </c>
      <c r="AF252" s="1163"/>
      <c r="AG252" s="1163">
        <v>100</v>
      </c>
      <c r="AH252" s="1163"/>
      <c r="AI252" s="1163">
        <v>0</v>
      </c>
      <c r="AJ252" s="1164"/>
      <c r="AK252" s="1164">
        <f t="shared" si="25"/>
        <v>-1400</v>
      </c>
      <c r="AL252" s="1165">
        <f t="shared" si="25"/>
        <v>0</v>
      </c>
    </row>
    <row r="253" spans="1:38" hidden="1" outlineLevel="2" x14ac:dyDescent="0.3">
      <c r="A253" s="1158"/>
      <c r="B253" s="1159" t="s">
        <v>754</v>
      </c>
      <c r="C253" s="1167"/>
      <c r="D253" s="1168"/>
      <c r="E253" s="1169"/>
      <c r="F253" s="1170"/>
      <c r="G253" s="1170"/>
      <c r="H253" s="1170"/>
      <c r="I253" s="1170"/>
      <c r="J253" s="1170"/>
      <c r="K253" s="1170"/>
      <c r="L253" s="1170"/>
      <c r="M253" s="1170">
        <v>640</v>
      </c>
      <c r="N253" s="1170"/>
      <c r="O253" s="1170">
        <v>1200</v>
      </c>
      <c r="P253" s="1170"/>
      <c r="Q253" s="1170">
        <v>400</v>
      </c>
      <c r="R253" s="1170"/>
      <c r="S253" s="1170"/>
      <c r="T253" s="1170"/>
      <c r="U253" s="1170"/>
      <c r="V253" s="1170"/>
      <c r="W253" s="1170"/>
      <c r="X253" s="1170"/>
      <c r="Y253" s="1170"/>
      <c r="Z253" s="1170"/>
      <c r="AA253" s="1170">
        <v>100</v>
      </c>
      <c r="AB253" s="1170"/>
      <c r="AC253" s="1170"/>
      <c r="AD253" s="1170"/>
      <c r="AE253" s="1170"/>
      <c r="AF253" s="1170"/>
      <c r="AG253" s="1170">
        <v>640</v>
      </c>
      <c r="AH253" s="1170"/>
      <c r="AI253" s="1170"/>
      <c r="AJ253" s="1171"/>
      <c r="AK253" s="1171">
        <f t="shared" si="25"/>
        <v>-2980</v>
      </c>
      <c r="AL253" s="1172">
        <f t="shared" si="25"/>
        <v>0</v>
      </c>
    </row>
    <row r="254" spans="1:38" hidden="1" outlineLevel="2" x14ac:dyDescent="0.3">
      <c r="A254" s="1158"/>
      <c r="B254" s="1166"/>
      <c r="C254" s="1167"/>
      <c r="D254" s="1168"/>
      <c r="E254" s="1169"/>
      <c r="F254" s="1170"/>
      <c r="G254" s="1170"/>
      <c r="H254" s="1170"/>
      <c r="I254" s="1170"/>
      <c r="J254" s="1170"/>
      <c r="K254" s="1170"/>
      <c r="L254" s="1170"/>
      <c r="M254" s="1170"/>
      <c r="N254" s="1170"/>
      <c r="O254" s="1170"/>
      <c r="P254" s="1170"/>
      <c r="Q254" s="1170"/>
      <c r="R254" s="1170"/>
      <c r="S254" s="1170"/>
      <c r="T254" s="1170"/>
      <c r="U254" s="1170"/>
      <c r="V254" s="1170"/>
      <c r="W254" s="1170"/>
      <c r="X254" s="1170"/>
      <c r="Y254" s="1170"/>
      <c r="Z254" s="1170"/>
      <c r="AA254" s="1170"/>
      <c r="AB254" s="1170"/>
      <c r="AC254" s="1170"/>
      <c r="AD254" s="1170"/>
      <c r="AE254" s="1170"/>
      <c r="AF254" s="1170"/>
      <c r="AG254" s="1170"/>
      <c r="AH254" s="1170"/>
      <c r="AI254" s="1170"/>
      <c r="AJ254" s="1171"/>
      <c r="AK254" s="1171">
        <f t="shared" si="25"/>
        <v>0</v>
      </c>
      <c r="AL254" s="1172">
        <f t="shared" si="25"/>
        <v>0</v>
      </c>
    </row>
    <row r="255" spans="1:38" hidden="1" outlineLevel="2" x14ac:dyDescent="0.3">
      <c r="A255" s="1158"/>
      <c r="B255" s="1166"/>
      <c r="C255" s="1167"/>
      <c r="D255" s="1168"/>
      <c r="E255" s="1169"/>
      <c r="F255" s="1170"/>
      <c r="G255" s="1170"/>
      <c r="H255" s="1170"/>
      <c r="I255" s="1170"/>
      <c r="J255" s="1170"/>
      <c r="K255" s="1170"/>
      <c r="L255" s="1170"/>
      <c r="M255" s="1170"/>
      <c r="N255" s="1170"/>
      <c r="O255" s="1170"/>
      <c r="P255" s="1170"/>
      <c r="Q255" s="1170"/>
      <c r="R255" s="1170"/>
      <c r="S255" s="1170"/>
      <c r="T255" s="1170"/>
      <c r="U255" s="1170"/>
      <c r="V255" s="1170"/>
      <c r="W255" s="1170"/>
      <c r="X255" s="1170"/>
      <c r="Y255" s="1170"/>
      <c r="Z255" s="1170"/>
      <c r="AA255" s="1170"/>
      <c r="AB255" s="1170"/>
      <c r="AC255" s="1170"/>
      <c r="AD255" s="1170"/>
      <c r="AE255" s="1170"/>
      <c r="AF255" s="1170"/>
      <c r="AG255" s="1170"/>
      <c r="AH255" s="1170"/>
      <c r="AI255" s="1170"/>
      <c r="AJ255" s="1171"/>
      <c r="AK255" s="1171">
        <f t="shared" si="25"/>
        <v>0</v>
      </c>
      <c r="AL255" s="1172">
        <f t="shared" si="25"/>
        <v>0</v>
      </c>
    </row>
    <row r="256" spans="1:38" hidden="1" outlineLevel="2" x14ac:dyDescent="0.3">
      <c r="A256" s="1158"/>
      <c r="B256" s="1166"/>
      <c r="C256" s="1167"/>
      <c r="D256" s="1168"/>
      <c r="E256" s="1169"/>
      <c r="F256" s="1170"/>
      <c r="G256" s="1170"/>
      <c r="H256" s="1170"/>
      <c r="I256" s="1170"/>
      <c r="J256" s="1170"/>
      <c r="K256" s="1170"/>
      <c r="L256" s="1170"/>
      <c r="M256" s="1170"/>
      <c r="N256" s="1170"/>
      <c r="O256" s="1170"/>
      <c r="P256" s="1170"/>
      <c r="Q256" s="1170"/>
      <c r="R256" s="1170"/>
      <c r="S256" s="1170"/>
      <c r="T256" s="1170"/>
      <c r="U256" s="1170"/>
      <c r="V256" s="1170"/>
      <c r="W256" s="1170"/>
      <c r="X256" s="1170"/>
      <c r="Y256" s="1170"/>
      <c r="Z256" s="1170"/>
      <c r="AA256" s="1170"/>
      <c r="AB256" s="1170"/>
      <c r="AC256" s="1170"/>
      <c r="AD256" s="1170"/>
      <c r="AE256" s="1170"/>
      <c r="AF256" s="1170"/>
      <c r="AG256" s="1170"/>
      <c r="AH256" s="1170"/>
      <c r="AI256" s="1170"/>
      <c r="AJ256" s="1171"/>
      <c r="AK256" s="1171">
        <f t="shared" si="25"/>
        <v>0</v>
      </c>
      <c r="AL256" s="1172">
        <f t="shared" si="25"/>
        <v>0</v>
      </c>
    </row>
    <row r="257" spans="1:38" hidden="1" outlineLevel="2" x14ac:dyDescent="0.3">
      <c r="A257" s="1158"/>
      <c r="B257" s="1166"/>
      <c r="C257" s="1167"/>
      <c r="D257" s="1168"/>
      <c r="E257" s="1169"/>
      <c r="F257" s="1170"/>
      <c r="G257" s="1170"/>
      <c r="H257" s="1170"/>
      <c r="I257" s="1170"/>
      <c r="J257" s="1170"/>
      <c r="K257" s="1170"/>
      <c r="L257" s="1170"/>
      <c r="M257" s="1170"/>
      <c r="N257" s="1170"/>
      <c r="O257" s="1170"/>
      <c r="P257" s="1170"/>
      <c r="Q257" s="1170"/>
      <c r="R257" s="1170"/>
      <c r="S257" s="1170"/>
      <c r="T257" s="1170"/>
      <c r="U257" s="1170"/>
      <c r="V257" s="1170"/>
      <c r="W257" s="1170"/>
      <c r="X257" s="1170"/>
      <c r="Y257" s="1170"/>
      <c r="Z257" s="1170"/>
      <c r="AA257" s="1170"/>
      <c r="AB257" s="1170"/>
      <c r="AC257" s="1170"/>
      <c r="AD257" s="1170"/>
      <c r="AE257" s="1170"/>
      <c r="AF257" s="1170"/>
      <c r="AG257" s="1170"/>
      <c r="AH257" s="1170"/>
      <c r="AI257" s="1170"/>
      <c r="AJ257" s="1171"/>
      <c r="AK257" s="1171">
        <f t="shared" si="25"/>
        <v>0</v>
      </c>
      <c r="AL257" s="1172">
        <f t="shared" si="25"/>
        <v>0</v>
      </c>
    </row>
    <row r="258" spans="1:38" hidden="1" outlineLevel="2" x14ac:dyDescent="0.3">
      <c r="A258" s="1158"/>
      <c r="B258" s="1166"/>
      <c r="C258" s="1167"/>
      <c r="D258" s="1168"/>
      <c r="E258" s="1169"/>
      <c r="F258" s="1170"/>
      <c r="G258" s="1170"/>
      <c r="H258" s="1170"/>
      <c r="I258" s="1170"/>
      <c r="J258" s="1170"/>
      <c r="K258" s="1170"/>
      <c r="L258" s="1170"/>
      <c r="M258" s="1170"/>
      <c r="N258" s="1170"/>
      <c r="O258" s="1170"/>
      <c r="P258" s="1170"/>
      <c r="Q258" s="1170"/>
      <c r="R258" s="1170"/>
      <c r="S258" s="1170"/>
      <c r="T258" s="1170"/>
      <c r="U258" s="1170"/>
      <c r="V258" s="1170"/>
      <c r="W258" s="1170"/>
      <c r="X258" s="1170"/>
      <c r="Y258" s="1170"/>
      <c r="Z258" s="1170"/>
      <c r="AA258" s="1170"/>
      <c r="AB258" s="1170"/>
      <c r="AC258" s="1170"/>
      <c r="AD258" s="1170"/>
      <c r="AE258" s="1170"/>
      <c r="AF258" s="1170"/>
      <c r="AG258" s="1170"/>
      <c r="AH258" s="1170"/>
      <c r="AI258" s="1170"/>
      <c r="AJ258" s="1171"/>
      <c r="AK258" s="1171">
        <f t="shared" si="25"/>
        <v>0</v>
      </c>
      <c r="AL258" s="1172">
        <f t="shared" si="25"/>
        <v>0</v>
      </c>
    </row>
    <row r="259" spans="1:38" ht="15" outlineLevel="1" collapsed="1" thickBot="1" x14ac:dyDescent="0.35">
      <c r="A259" s="1158"/>
      <c r="B259" s="1173" t="s">
        <v>550</v>
      </c>
      <c r="C259" s="1174"/>
      <c r="D259" s="1175"/>
      <c r="E259" s="1176">
        <f>SUBTOTAL(9,E250:E252)</f>
        <v>0</v>
      </c>
      <c r="F259" s="1177"/>
      <c r="G259" s="1177">
        <f t="shared" ref="G259:AI259" si="27">SUBTOTAL(9,G250:G252)</f>
        <v>200</v>
      </c>
      <c r="H259" s="1177"/>
      <c r="I259" s="1177">
        <f t="shared" si="27"/>
        <v>500</v>
      </c>
      <c r="J259" s="1177"/>
      <c r="K259" s="1177">
        <f t="shared" si="27"/>
        <v>0</v>
      </c>
      <c r="L259" s="1177"/>
      <c r="M259" s="1177">
        <f t="shared" si="27"/>
        <v>500</v>
      </c>
      <c r="N259" s="1177"/>
      <c r="O259" s="1177">
        <f t="shared" si="27"/>
        <v>1200</v>
      </c>
      <c r="P259" s="1177"/>
      <c r="Q259" s="1177">
        <f t="shared" si="27"/>
        <v>300</v>
      </c>
      <c r="R259" s="1177"/>
      <c r="S259" s="1177">
        <f t="shared" si="27"/>
        <v>100</v>
      </c>
      <c r="T259" s="1177"/>
      <c r="U259" s="1177">
        <f t="shared" si="27"/>
        <v>0</v>
      </c>
      <c r="V259" s="1177"/>
      <c r="W259" s="1177">
        <f t="shared" si="27"/>
        <v>450</v>
      </c>
      <c r="X259" s="1177"/>
      <c r="Y259" s="1177">
        <f t="shared" si="27"/>
        <v>100</v>
      </c>
      <c r="Z259" s="1177"/>
      <c r="AA259" s="1177">
        <f>SUBTOTAL(9,AA250:AA253)</f>
        <v>300</v>
      </c>
      <c r="AB259" s="1177"/>
      <c r="AC259" s="1177">
        <f t="shared" si="27"/>
        <v>0</v>
      </c>
      <c r="AD259" s="1177"/>
      <c r="AE259" s="1177">
        <f t="shared" si="27"/>
        <v>2400</v>
      </c>
      <c r="AF259" s="1177"/>
      <c r="AG259" s="1177">
        <f t="shared" si="27"/>
        <v>700</v>
      </c>
      <c r="AH259" s="1177"/>
      <c r="AI259" s="1177">
        <f t="shared" si="27"/>
        <v>0</v>
      </c>
      <c r="AJ259" s="1178"/>
      <c r="AK259" s="1178">
        <f t="shared" si="25"/>
        <v>-5350</v>
      </c>
      <c r="AL259" s="1179">
        <f t="shared" si="25"/>
        <v>0</v>
      </c>
    </row>
    <row r="260" spans="1:38" ht="138" outlineLevel="1" x14ac:dyDescent="0.35">
      <c r="A260" s="1180" t="s">
        <v>1464</v>
      </c>
      <c r="B260" s="1181" t="s">
        <v>1224</v>
      </c>
      <c r="C260" s="1182"/>
      <c r="D260" s="1183"/>
      <c r="E260" s="1184"/>
      <c r="F260" s="1185"/>
      <c r="G260" s="1185"/>
      <c r="H260" s="1185"/>
      <c r="I260" s="1185"/>
      <c r="J260" s="1185"/>
      <c r="K260" s="1185"/>
      <c r="L260" s="1185"/>
      <c r="M260" s="1185">
        <v>400</v>
      </c>
      <c r="N260" s="1185"/>
      <c r="O260" s="1185">
        <v>0</v>
      </c>
      <c r="P260" s="1185"/>
      <c r="Q260" s="1185">
        <v>0</v>
      </c>
      <c r="R260" s="1185"/>
      <c r="S260" s="1185">
        <v>0</v>
      </c>
      <c r="T260" s="1185"/>
      <c r="U260" s="1185"/>
      <c r="V260" s="1185"/>
      <c r="W260" s="1185"/>
      <c r="X260" s="1185"/>
      <c r="Y260" s="1185"/>
      <c r="Z260" s="1185"/>
      <c r="AA260" s="1185"/>
      <c r="AB260" s="1185"/>
      <c r="AC260" s="1185"/>
      <c r="AD260" s="1185"/>
      <c r="AE260" s="1185"/>
      <c r="AF260" s="1185"/>
      <c r="AG260" s="1185"/>
      <c r="AH260" s="1185"/>
      <c r="AI260" s="1185"/>
      <c r="AJ260" s="1186"/>
      <c r="AK260" s="1186">
        <f t="shared" si="25"/>
        <v>-400</v>
      </c>
      <c r="AL260" s="1187">
        <f t="shared" si="25"/>
        <v>0</v>
      </c>
    </row>
    <row r="261" spans="1:38" hidden="1" outlineLevel="2" x14ac:dyDescent="0.3">
      <c r="A261" s="1188"/>
      <c r="B261" s="1189" t="s">
        <v>759</v>
      </c>
      <c r="C261" s="1190" t="s">
        <v>760</v>
      </c>
      <c r="D261" s="1191" t="s">
        <v>770</v>
      </c>
      <c r="E261" s="1192">
        <v>0</v>
      </c>
      <c r="F261" s="1193"/>
      <c r="G261" s="1193">
        <v>0</v>
      </c>
      <c r="H261" s="1193"/>
      <c r="I261" s="1193">
        <v>0</v>
      </c>
      <c r="J261" s="1193"/>
      <c r="K261" s="1193">
        <v>0</v>
      </c>
      <c r="L261" s="1193"/>
      <c r="M261" s="1193">
        <v>800</v>
      </c>
      <c r="N261" s="1193"/>
      <c r="O261" s="1193">
        <v>1500</v>
      </c>
      <c r="P261" s="1193"/>
      <c r="Q261" s="1193">
        <v>384</v>
      </c>
      <c r="R261" s="1193"/>
      <c r="S261" s="1193">
        <v>200</v>
      </c>
      <c r="T261" s="1193"/>
      <c r="U261" s="1193">
        <v>0</v>
      </c>
      <c r="V261" s="1193"/>
      <c r="W261" s="1193">
        <v>0</v>
      </c>
      <c r="X261" s="1193"/>
      <c r="Y261" s="1193">
        <v>0</v>
      </c>
      <c r="Z261" s="1193"/>
      <c r="AA261" s="1193">
        <v>0</v>
      </c>
      <c r="AB261" s="1193"/>
      <c r="AC261" s="1193">
        <v>0</v>
      </c>
      <c r="AD261" s="1193"/>
      <c r="AE261" s="1193">
        <v>0</v>
      </c>
      <c r="AF261" s="1193"/>
      <c r="AG261" s="1193">
        <v>0</v>
      </c>
      <c r="AH261" s="1193"/>
      <c r="AI261" s="1193">
        <v>0</v>
      </c>
      <c r="AJ261" s="1194"/>
      <c r="AK261" s="1194">
        <f t="shared" si="25"/>
        <v>-2884</v>
      </c>
      <c r="AL261" s="1195">
        <f t="shared" si="25"/>
        <v>0</v>
      </c>
    </row>
    <row r="262" spans="1:38" hidden="1" outlineLevel="2" x14ac:dyDescent="0.3">
      <c r="A262" s="1188"/>
      <c r="B262" s="1189" t="s">
        <v>759</v>
      </c>
      <c r="C262" s="1190" t="s">
        <v>760</v>
      </c>
      <c r="D262" s="1191" t="s">
        <v>764</v>
      </c>
      <c r="E262" s="1192">
        <v>0</v>
      </c>
      <c r="F262" s="1193"/>
      <c r="G262" s="1193">
        <v>0</v>
      </c>
      <c r="H262" s="1193"/>
      <c r="I262" s="1193">
        <v>0</v>
      </c>
      <c r="J262" s="1193"/>
      <c r="K262" s="1193">
        <v>0</v>
      </c>
      <c r="L262" s="1193"/>
      <c r="M262" s="1193">
        <v>600</v>
      </c>
      <c r="N262" s="1193"/>
      <c r="O262" s="1193">
        <v>750</v>
      </c>
      <c r="P262" s="1193"/>
      <c r="Q262" s="1193">
        <v>192</v>
      </c>
      <c r="R262" s="1193"/>
      <c r="S262" s="1193">
        <v>100</v>
      </c>
      <c r="T262" s="1193"/>
      <c r="U262" s="1193">
        <v>0</v>
      </c>
      <c r="V262" s="1193"/>
      <c r="W262" s="1193">
        <v>0</v>
      </c>
      <c r="X262" s="1193"/>
      <c r="Y262" s="1193">
        <v>0</v>
      </c>
      <c r="Z262" s="1193"/>
      <c r="AA262" s="1193">
        <v>0</v>
      </c>
      <c r="AB262" s="1193"/>
      <c r="AC262" s="1193">
        <v>0</v>
      </c>
      <c r="AD262" s="1193"/>
      <c r="AE262" s="1193">
        <v>0</v>
      </c>
      <c r="AF262" s="1193"/>
      <c r="AG262" s="1193">
        <v>0</v>
      </c>
      <c r="AH262" s="1193"/>
      <c r="AI262" s="1193">
        <v>0</v>
      </c>
      <c r="AJ262" s="1194"/>
      <c r="AK262" s="1194">
        <f t="shared" si="25"/>
        <v>-1642</v>
      </c>
      <c r="AL262" s="1195">
        <f t="shared" si="25"/>
        <v>0</v>
      </c>
    </row>
    <row r="263" spans="1:38" hidden="1" outlineLevel="2" x14ac:dyDescent="0.3">
      <c r="A263" s="1188"/>
      <c r="B263" s="1196" t="s">
        <v>759</v>
      </c>
      <c r="C263" s="1197" t="s">
        <v>760</v>
      </c>
      <c r="D263" s="1198" t="s">
        <v>761</v>
      </c>
      <c r="E263" s="1199"/>
      <c r="F263" s="1200"/>
      <c r="G263" s="1200"/>
      <c r="H263" s="1200"/>
      <c r="I263" s="1200"/>
      <c r="J263" s="1200"/>
      <c r="K263" s="1200"/>
      <c r="L263" s="1200"/>
      <c r="M263" s="1200">
        <v>1800</v>
      </c>
      <c r="N263" s="1200"/>
      <c r="O263" s="1200">
        <v>2250</v>
      </c>
      <c r="P263" s="1200"/>
      <c r="Q263" s="1200">
        <v>576</v>
      </c>
      <c r="R263" s="1200"/>
      <c r="S263" s="1200">
        <v>300</v>
      </c>
      <c r="T263" s="1200"/>
      <c r="U263" s="1200"/>
      <c r="V263" s="1200"/>
      <c r="W263" s="1200"/>
      <c r="X263" s="1200"/>
      <c r="Y263" s="1200"/>
      <c r="Z263" s="1200"/>
      <c r="AA263" s="1200"/>
      <c r="AB263" s="1200"/>
      <c r="AC263" s="1200"/>
      <c r="AD263" s="1200"/>
      <c r="AE263" s="1200"/>
      <c r="AF263" s="1200"/>
      <c r="AG263" s="1200"/>
      <c r="AH263" s="1200"/>
      <c r="AI263" s="1200"/>
      <c r="AJ263" s="1201"/>
      <c r="AK263" s="1201">
        <f t="shared" si="25"/>
        <v>-4926</v>
      </c>
      <c r="AL263" s="1202">
        <f t="shared" si="25"/>
        <v>0</v>
      </c>
    </row>
    <row r="264" spans="1:38" hidden="1" outlineLevel="2" x14ac:dyDescent="0.3">
      <c r="A264" s="1188"/>
      <c r="B264" s="1196" t="s">
        <v>1225</v>
      </c>
      <c r="C264" s="1197" t="s">
        <v>760</v>
      </c>
      <c r="D264" s="1198" t="s">
        <v>761</v>
      </c>
      <c r="E264" s="1199"/>
      <c r="F264" s="1200"/>
      <c r="G264" s="1200"/>
      <c r="H264" s="1200"/>
      <c r="I264" s="1200"/>
      <c r="J264" s="1200"/>
      <c r="K264" s="1200"/>
      <c r="L264" s="1200"/>
      <c r="M264" s="1200">
        <v>1000</v>
      </c>
      <c r="N264" s="1200"/>
      <c r="O264" s="1200">
        <v>1000</v>
      </c>
      <c r="P264" s="1200"/>
      <c r="Q264" s="1200">
        <v>500</v>
      </c>
      <c r="R264" s="1200"/>
      <c r="S264" s="1200">
        <v>200</v>
      </c>
      <c r="T264" s="1200"/>
      <c r="U264" s="1200"/>
      <c r="V264" s="1200"/>
      <c r="W264" s="1200"/>
      <c r="X264" s="1200"/>
      <c r="Y264" s="1200"/>
      <c r="Z264" s="1200"/>
      <c r="AA264" s="1200"/>
      <c r="AB264" s="1200"/>
      <c r="AC264" s="1200"/>
      <c r="AD264" s="1200"/>
      <c r="AE264" s="1200"/>
      <c r="AF264" s="1200"/>
      <c r="AG264" s="1200"/>
      <c r="AH264" s="1200"/>
      <c r="AI264" s="1200"/>
      <c r="AJ264" s="1201"/>
      <c r="AK264" s="1201">
        <f t="shared" si="25"/>
        <v>-2700</v>
      </c>
      <c r="AL264" s="1202">
        <f t="shared" si="25"/>
        <v>0</v>
      </c>
    </row>
    <row r="265" spans="1:38" ht="82.8" hidden="1" outlineLevel="2" x14ac:dyDescent="0.3">
      <c r="A265" s="1188"/>
      <c r="B265" s="1196" t="s">
        <v>1226</v>
      </c>
      <c r="C265" s="1197" t="s">
        <v>760</v>
      </c>
      <c r="D265" s="1198" t="s">
        <v>761</v>
      </c>
      <c r="E265" s="1199"/>
      <c r="F265" s="1200"/>
      <c r="G265" s="1200"/>
      <c r="H265" s="1200"/>
      <c r="I265" s="1200"/>
      <c r="J265" s="1200"/>
      <c r="K265" s="1200"/>
      <c r="L265" s="1200"/>
      <c r="M265" s="1200">
        <v>800</v>
      </c>
      <c r="N265" s="1200"/>
      <c r="O265" s="1200">
        <v>2000</v>
      </c>
      <c r="P265" s="1200"/>
      <c r="Q265" s="1200">
        <v>1100</v>
      </c>
      <c r="R265" s="1200"/>
      <c r="S265" s="1200">
        <v>400</v>
      </c>
      <c r="T265" s="1200"/>
      <c r="U265" s="1200"/>
      <c r="V265" s="1200"/>
      <c r="W265" s="1200"/>
      <c r="X265" s="1200"/>
      <c r="Y265" s="1200"/>
      <c r="Z265" s="1200"/>
      <c r="AA265" s="1200"/>
      <c r="AB265" s="1200"/>
      <c r="AC265" s="1200"/>
      <c r="AD265" s="1200"/>
      <c r="AE265" s="1200"/>
      <c r="AF265" s="1200"/>
      <c r="AG265" s="1200"/>
      <c r="AH265" s="1200"/>
      <c r="AI265" s="1200"/>
      <c r="AJ265" s="1201"/>
      <c r="AK265" s="1201">
        <f t="shared" si="25"/>
        <v>-4300</v>
      </c>
      <c r="AL265" s="1202">
        <f t="shared" si="25"/>
        <v>0</v>
      </c>
    </row>
    <row r="266" spans="1:38" hidden="1" outlineLevel="2" x14ac:dyDescent="0.3">
      <c r="A266" s="1188"/>
      <c r="B266" s="1196" t="s">
        <v>762</v>
      </c>
      <c r="C266" s="1197" t="s">
        <v>763</v>
      </c>
      <c r="D266" s="1198" t="s">
        <v>764</v>
      </c>
      <c r="E266" s="1199"/>
      <c r="F266" s="1200"/>
      <c r="G266" s="1200"/>
      <c r="H266" s="1200"/>
      <c r="I266" s="1200"/>
      <c r="J266" s="1200"/>
      <c r="K266" s="1200"/>
      <c r="L266" s="1200"/>
      <c r="M266" s="1200"/>
      <c r="N266" s="1200"/>
      <c r="O266" s="1200">
        <v>800</v>
      </c>
      <c r="P266" s="1200"/>
      <c r="Q266" s="1200">
        <v>200</v>
      </c>
      <c r="R266" s="1200"/>
      <c r="S266" s="1200"/>
      <c r="T266" s="1200"/>
      <c r="U266" s="1200"/>
      <c r="V266" s="1200"/>
      <c r="W266" s="1200"/>
      <c r="X266" s="1200"/>
      <c r="Y266" s="1200"/>
      <c r="Z266" s="1200"/>
      <c r="AA266" s="1200"/>
      <c r="AB266" s="1200"/>
      <c r="AC266" s="1200"/>
      <c r="AD266" s="1200"/>
      <c r="AE266" s="1200"/>
      <c r="AF266" s="1200"/>
      <c r="AG266" s="1200"/>
      <c r="AH266" s="1200"/>
      <c r="AI266" s="1200"/>
      <c r="AJ266" s="1201"/>
      <c r="AK266" s="1201">
        <f t="shared" si="25"/>
        <v>-1000</v>
      </c>
      <c r="AL266" s="1202">
        <f t="shared" si="25"/>
        <v>0</v>
      </c>
    </row>
    <row r="267" spans="1:38" hidden="1" outlineLevel="2" x14ac:dyDescent="0.3">
      <c r="A267" s="1188"/>
      <c r="B267" s="1196" t="s">
        <v>1227</v>
      </c>
      <c r="C267" s="1197"/>
      <c r="D267" s="1198"/>
      <c r="E267" s="1199"/>
      <c r="F267" s="1200"/>
      <c r="G267" s="1200"/>
      <c r="H267" s="1200"/>
      <c r="I267" s="1200"/>
      <c r="J267" s="1200"/>
      <c r="K267" s="1200"/>
      <c r="L267" s="1200"/>
      <c r="M267" s="1200"/>
      <c r="N267" s="1200"/>
      <c r="O267" s="1200"/>
      <c r="P267" s="1200"/>
      <c r="Q267" s="1200"/>
      <c r="R267" s="1200"/>
      <c r="S267" s="1200"/>
      <c r="T267" s="1200"/>
      <c r="U267" s="1200"/>
      <c r="V267" s="1200"/>
      <c r="W267" s="1200"/>
      <c r="X267" s="1200"/>
      <c r="Y267" s="1200"/>
      <c r="Z267" s="1200"/>
      <c r="AA267" s="1200"/>
      <c r="AB267" s="1200"/>
      <c r="AC267" s="1200"/>
      <c r="AD267" s="1200"/>
      <c r="AE267" s="1200"/>
      <c r="AF267" s="1200"/>
      <c r="AG267" s="1200"/>
      <c r="AH267" s="1200"/>
      <c r="AI267" s="1200"/>
      <c r="AJ267" s="1201"/>
      <c r="AK267" s="1201">
        <f t="shared" si="25"/>
        <v>0</v>
      </c>
      <c r="AL267" s="1202">
        <f t="shared" si="25"/>
        <v>0</v>
      </c>
    </row>
    <row r="268" spans="1:38" ht="15" outlineLevel="1" collapsed="1" thickBot="1" x14ac:dyDescent="0.35">
      <c r="A268" s="1188"/>
      <c r="B268" s="1203" t="s">
        <v>550</v>
      </c>
      <c r="C268" s="1204"/>
      <c r="D268" s="1205"/>
      <c r="E268" s="1206">
        <f>SUBTOTAL(9,E260:E262)</f>
        <v>0</v>
      </c>
      <c r="F268" s="1207"/>
      <c r="G268" s="1207">
        <f>SUBTOTAL(9,G260:G262)</f>
        <v>0</v>
      </c>
      <c r="H268" s="1207"/>
      <c r="I268" s="1207">
        <f>SUBTOTAL(9,I260:I262)</f>
        <v>0</v>
      </c>
      <c r="J268" s="1207"/>
      <c r="K268" s="1207">
        <f>SUBTOTAL(9,K260:K262)</f>
        <v>0</v>
      </c>
      <c r="L268" s="1207"/>
      <c r="M268" s="1207">
        <f>SUBTOTAL(9,M260:M262)</f>
        <v>1800</v>
      </c>
      <c r="N268" s="1207"/>
      <c r="O268" s="1207">
        <f>SUBTOTAL(9,O260:O262)</f>
        <v>2250</v>
      </c>
      <c r="P268" s="1207"/>
      <c r="Q268" s="1207">
        <f>SUBTOTAL(9,Q260:Q262)</f>
        <v>576</v>
      </c>
      <c r="R268" s="1207"/>
      <c r="S268" s="1207">
        <f>SUBTOTAL(9,S260:S262)</f>
        <v>300</v>
      </c>
      <c r="T268" s="1207"/>
      <c r="U268" s="1207">
        <f>SUBTOTAL(9,U260:U262)</f>
        <v>0</v>
      </c>
      <c r="V268" s="1207"/>
      <c r="W268" s="1207">
        <f>SUBTOTAL(9,W260:W262)</f>
        <v>0</v>
      </c>
      <c r="X268" s="1207"/>
      <c r="Y268" s="1207">
        <f>SUBTOTAL(9,Y260:Y262)</f>
        <v>0</v>
      </c>
      <c r="Z268" s="1207"/>
      <c r="AA268" s="1207">
        <f>SUBTOTAL(9,AA260:AA262)</f>
        <v>0</v>
      </c>
      <c r="AB268" s="1207"/>
      <c r="AC268" s="1207">
        <f>SUBTOTAL(9,AC260:AC262)</f>
        <v>0</v>
      </c>
      <c r="AD268" s="1207"/>
      <c r="AE268" s="1207">
        <f>SUBTOTAL(9,AE260:AE262)</f>
        <v>0</v>
      </c>
      <c r="AF268" s="1207"/>
      <c r="AG268" s="1207">
        <f>SUBTOTAL(9,AG260:AG262)</f>
        <v>0</v>
      </c>
      <c r="AH268" s="1207"/>
      <c r="AI268" s="1207">
        <f>SUBTOTAL(9,AI260:AI262)</f>
        <v>0</v>
      </c>
      <c r="AJ268" s="1208"/>
      <c r="AK268" s="1208">
        <f t="shared" si="25"/>
        <v>-4926</v>
      </c>
      <c r="AL268" s="1209">
        <f t="shared" si="25"/>
        <v>0</v>
      </c>
    </row>
    <row r="269" spans="1:38" x14ac:dyDescent="0.3">
      <c r="A269" s="98"/>
      <c r="B269" s="660"/>
      <c r="C269" s="660"/>
      <c r="D269" s="660"/>
      <c r="E269" s="941">
        <f>SUM(E268,E259,E248)</f>
        <v>46150</v>
      </c>
      <c r="F269" s="941"/>
      <c r="G269" s="941">
        <f>SUM(G268,G259,G248)</f>
        <v>200</v>
      </c>
      <c r="H269" s="941"/>
      <c r="I269" s="941">
        <f>SUM(I268,I259,I248)</f>
        <v>500</v>
      </c>
      <c r="J269" s="941"/>
      <c r="K269" s="941">
        <v>9600</v>
      </c>
      <c r="L269" s="941"/>
      <c r="M269" s="941">
        <f>SUM(M268,M259,M248)</f>
        <v>2300</v>
      </c>
      <c r="N269" s="941"/>
      <c r="O269" s="941">
        <f>SUM(O268,O259,O248)</f>
        <v>3450</v>
      </c>
      <c r="P269" s="941"/>
      <c r="Q269" s="941">
        <f>SUM(Q268,Q259,Q248)</f>
        <v>876</v>
      </c>
      <c r="R269" s="941"/>
      <c r="S269" s="941">
        <f>SUM(S268,S259,S248)</f>
        <v>400</v>
      </c>
      <c r="T269" s="941"/>
      <c r="U269" s="941">
        <f>SUM(U268,U259,U248)</f>
        <v>40000</v>
      </c>
      <c r="V269" s="941"/>
      <c r="W269" s="941">
        <f>SUM(W268,W259,W248)</f>
        <v>450</v>
      </c>
      <c r="X269" s="941"/>
      <c r="Y269" s="941">
        <f>SUM(Y268,Y259,Y248)</f>
        <v>100</v>
      </c>
      <c r="Z269" s="941"/>
      <c r="AA269" s="941">
        <f>SUM(AA268,AA259,AA248)</f>
        <v>300</v>
      </c>
      <c r="AB269" s="941"/>
      <c r="AC269" s="941">
        <f>SUM(AC268,AC259,AC248)</f>
        <v>0</v>
      </c>
      <c r="AD269" s="941"/>
      <c r="AE269" s="941">
        <f>SUM(AE268,AE259,AE248)</f>
        <v>5175</v>
      </c>
      <c r="AF269" s="941"/>
      <c r="AG269" s="941">
        <f>SUM(AG268,AG259,AG248)</f>
        <v>2039.9999999999989</v>
      </c>
      <c r="AH269" s="941"/>
      <c r="AI269" s="941">
        <f>SUM(AI268,AI259,AI248)</f>
        <v>0</v>
      </c>
      <c r="AJ269" s="941"/>
      <c r="AK269" s="941"/>
      <c r="AL269" s="941">
        <f>SUM(K269:AI269)-SUM(E269:I269)</f>
        <v>17841</v>
      </c>
    </row>
    <row r="271" spans="1:38" ht="18" x14ac:dyDescent="0.3">
      <c r="A271" s="1110" t="s">
        <v>1469</v>
      </c>
      <c r="B271" s="1111"/>
      <c r="C271" s="1111"/>
      <c r="D271" s="1111"/>
      <c r="E271" s="1112"/>
      <c r="F271" s="1112"/>
      <c r="G271" s="660"/>
      <c r="H271" s="660"/>
      <c r="I271" s="660"/>
      <c r="J271" s="660"/>
      <c r="K271" s="660"/>
      <c r="L271" s="660"/>
      <c r="M271" s="660"/>
      <c r="N271" s="660"/>
      <c r="O271" s="660"/>
      <c r="P271" s="660"/>
      <c r="Q271" s="660"/>
      <c r="R271" s="660"/>
      <c r="S271" s="660"/>
      <c r="T271" s="660"/>
      <c r="U271" s="660"/>
      <c r="V271" s="660"/>
      <c r="W271" s="660"/>
      <c r="X271" s="660"/>
      <c r="Y271" s="660"/>
      <c r="Z271" s="660"/>
      <c r="AA271" s="660"/>
      <c r="AB271" s="660"/>
      <c r="AC271" s="660"/>
      <c r="AD271" s="660"/>
      <c r="AE271" s="660"/>
      <c r="AF271" s="660"/>
      <c r="AG271" s="660"/>
      <c r="AH271" s="660"/>
      <c r="AI271" s="660"/>
      <c r="AJ271" s="660"/>
      <c r="AK271" s="660"/>
    </row>
    <row r="272" spans="1:38" ht="15" thickBot="1" x14ac:dyDescent="0.35">
      <c r="A272" s="39"/>
      <c r="B272" s="1113"/>
      <c r="C272" s="1113"/>
      <c r="D272" s="1114" t="s">
        <v>1407</v>
      </c>
      <c r="E272" s="1115" t="s">
        <v>69</v>
      </c>
      <c r="F272" s="1116" t="s">
        <v>8</v>
      </c>
      <c r="G272" s="1115" t="s">
        <v>83</v>
      </c>
      <c r="H272" s="1116" t="s">
        <v>8</v>
      </c>
      <c r="I272" s="1115" t="s">
        <v>90</v>
      </c>
      <c r="J272" s="1116" t="s">
        <v>8</v>
      </c>
      <c r="K272" s="1117" t="s">
        <v>134</v>
      </c>
      <c r="L272" s="1118" t="s">
        <v>8</v>
      </c>
      <c r="M272" s="1117" t="s">
        <v>136</v>
      </c>
      <c r="N272" s="1118" t="s">
        <v>8</v>
      </c>
      <c r="O272" s="1117" t="s">
        <v>728</v>
      </c>
      <c r="P272" s="1118" t="s">
        <v>8</v>
      </c>
      <c r="Q272" s="1117" t="s">
        <v>266</v>
      </c>
      <c r="R272" s="1118" t="s">
        <v>8</v>
      </c>
      <c r="S272" s="1117" t="s">
        <v>292</v>
      </c>
      <c r="T272" s="1118" t="s">
        <v>8</v>
      </c>
      <c r="U272" s="1117" t="s">
        <v>335</v>
      </c>
      <c r="V272" s="1118" t="s">
        <v>8</v>
      </c>
      <c r="W272" s="1117" t="s">
        <v>346</v>
      </c>
      <c r="X272" s="1118" t="s">
        <v>8</v>
      </c>
      <c r="Y272" s="1117" t="s">
        <v>357</v>
      </c>
      <c r="Z272" s="1118" t="s">
        <v>8</v>
      </c>
      <c r="AA272" s="1117" t="s">
        <v>364</v>
      </c>
      <c r="AB272" s="1118" t="s">
        <v>8</v>
      </c>
      <c r="AC272" s="1117" t="s">
        <v>376</v>
      </c>
      <c r="AD272" s="1118" t="s">
        <v>8</v>
      </c>
      <c r="AE272" s="1117" t="s">
        <v>386</v>
      </c>
      <c r="AF272" s="1118" t="s">
        <v>8</v>
      </c>
      <c r="AG272" s="1117" t="s">
        <v>398</v>
      </c>
      <c r="AH272" s="1118" t="s">
        <v>8</v>
      </c>
      <c r="AI272" s="1117" t="s">
        <v>424</v>
      </c>
      <c r="AJ272" s="1119" t="s">
        <v>8</v>
      </c>
      <c r="AK272" s="1120" t="s">
        <v>1404</v>
      </c>
      <c r="AL272" s="1121" t="s">
        <v>1405</v>
      </c>
    </row>
    <row r="273" spans="1:38" ht="18" outlineLevel="1" x14ac:dyDescent="0.35">
      <c r="A273" s="1122" t="s">
        <v>1223</v>
      </c>
      <c r="B273" s="1123" t="s">
        <v>625</v>
      </c>
      <c r="C273" s="1124" t="s">
        <v>1408</v>
      </c>
      <c r="D273" s="1125" t="s">
        <v>1409</v>
      </c>
      <c r="E273" s="1126"/>
      <c r="F273" s="1127"/>
      <c r="G273" s="1127"/>
      <c r="H273" s="1127"/>
      <c r="I273" s="1127"/>
      <c r="J273" s="1127"/>
      <c r="K273" s="1127"/>
      <c r="L273" s="1127"/>
      <c r="M273" s="1127"/>
      <c r="N273" s="1127"/>
      <c r="O273" s="1127"/>
      <c r="P273" s="1127"/>
      <c r="Q273" s="1127"/>
      <c r="R273" s="1127"/>
      <c r="S273" s="1127"/>
      <c r="T273" s="1127"/>
      <c r="U273" s="1127"/>
      <c r="V273" s="1127"/>
      <c r="W273" s="1127"/>
      <c r="X273" s="1127"/>
      <c r="Y273" s="1127"/>
      <c r="Z273" s="1127"/>
      <c r="AA273" s="1127"/>
      <c r="AB273" s="1127"/>
      <c r="AC273" s="1127"/>
      <c r="AD273" s="1127"/>
      <c r="AE273" s="1127"/>
      <c r="AF273" s="1127"/>
      <c r="AG273" s="1127"/>
      <c r="AH273" s="1127"/>
      <c r="AI273" s="1127"/>
      <c r="AJ273" s="1128"/>
      <c r="AK273" s="1128"/>
      <c r="AL273" s="1129"/>
    </row>
    <row r="274" spans="1:38" ht="41.4" hidden="1" outlineLevel="2" x14ac:dyDescent="0.3">
      <c r="A274" s="1130"/>
      <c r="B274" s="1131" t="s">
        <v>1410</v>
      </c>
      <c r="C274" s="1132"/>
      <c r="D274" s="1133"/>
      <c r="E274" s="1134"/>
      <c r="F274" s="1135"/>
      <c r="G274" s="1135"/>
      <c r="H274" s="1135"/>
      <c r="I274" s="1135"/>
      <c r="J274" s="1135"/>
      <c r="K274" s="1135"/>
      <c r="L274" s="1135"/>
      <c r="M274" s="1135"/>
      <c r="N274" s="1135"/>
      <c r="O274" s="1135"/>
      <c r="P274" s="1135"/>
      <c r="Q274" s="1135"/>
      <c r="R274" s="1135"/>
      <c r="S274" s="1135"/>
      <c r="T274" s="1135"/>
      <c r="U274" s="1135">
        <v>40000</v>
      </c>
      <c r="V274" s="1135"/>
      <c r="W274" s="1135"/>
      <c r="X274" s="1135"/>
      <c r="Y274" s="1135"/>
      <c r="Z274" s="1135"/>
      <c r="AA274" s="1135"/>
      <c r="AB274" s="1135"/>
      <c r="AC274" s="1135"/>
      <c r="AD274" s="1135"/>
      <c r="AE274" s="1135">
        <f>18.5*3*50</f>
        <v>2775</v>
      </c>
      <c r="AF274" s="1135"/>
      <c r="AG274" s="1135">
        <v>1340</v>
      </c>
      <c r="AH274" s="1135"/>
      <c r="AI274" s="1135">
        <v>0</v>
      </c>
      <c r="AJ274" s="1136"/>
      <c r="AK274" s="1136"/>
      <c r="AL274" s="1137"/>
    </row>
    <row r="275" spans="1:38" ht="27.6" hidden="1" outlineLevel="2" x14ac:dyDescent="0.3">
      <c r="A275" s="1130"/>
      <c r="B275" s="1131" t="s">
        <v>1411</v>
      </c>
      <c r="C275" s="1132" t="s">
        <v>1412</v>
      </c>
      <c r="D275" s="1133" t="s">
        <v>1413</v>
      </c>
      <c r="E275" s="1134">
        <f>46150/50</f>
        <v>923</v>
      </c>
      <c r="F275" s="1135">
        <v>399.2</v>
      </c>
      <c r="G275" s="1135">
        <v>0</v>
      </c>
      <c r="H275" s="1135">
        <v>0</v>
      </c>
      <c r="I275" s="1135">
        <v>0</v>
      </c>
      <c r="J275" s="1135">
        <v>0</v>
      </c>
      <c r="K275" s="1135">
        <f>1800/50</f>
        <v>36</v>
      </c>
      <c r="L275" s="1135">
        <v>0</v>
      </c>
      <c r="M275" s="1135">
        <v>0</v>
      </c>
      <c r="N275" s="1135">
        <v>0</v>
      </c>
      <c r="O275" s="1135">
        <v>0</v>
      </c>
      <c r="P275" s="1135">
        <v>0</v>
      </c>
      <c r="Q275" s="1135">
        <v>0</v>
      </c>
      <c r="R275" s="1135">
        <v>0</v>
      </c>
      <c r="S275" s="1135">
        <v>0</v>
      </c>
      <c r="T275" s="1135">
        <v>0</v>
      </c>
      <c r="U275" s="1135">
        <f t="shared" ref="U275:U324" si="28">$U$195/50</f>
        <v>800</v>
      </c>
      <c r="V275" s="1135">
        <v>0</v>
      </c>
      <c r="W275" s="1135">
        <v>0</v>
      </c>
      <c r="X275" s="1135">
        <v>0</v>
      </c>
      <c r="Y275" s="1135">
        <v>0</v>
      </c>
      <c r="Z275" s="1135">
        <v>0</v>
      </c>
      <c r="AA275" s="1135">
        <v>0</v>
      </c>
      <c r="AB275" s="1135">
        <v>0</v>
      </c>
      <c r="AC275" s="1135">
        <v>0</v>
      </c>
      <c r="AD275" s="1135">
        <v>0</v>
      </c>
      <c r="AE275" s="1135">
        <f>18.5*3</f>
        <v>55.5</v>
      </c>
      <c r="AF275" s="1135">
        <v>0</v>
      </c>
      <c r="AG275" s="1135">
        <f>1340/50</f>
        <v>26.8</v>
      </c>
      <c r="AH275" s="1135">
        <v>0</v>
      </c>
      <c r="AI275" s="1135">
        <v>0</v>
      </c>
      <c r="AJ275" s="1136"/>
      <c r="AK275" s="1137">
        <f t="shared" ref="AK275:AL306" si="29">SUM(E275,G275,I275)-SUM(K275,M275,O275,Q275,S275,U275,W275,Y275,AA275,AC275,AE275,AG275,AI275)</f>
        <v>4.7000000000000455</v>
      </c>
      <c r="AL275" s="1137">
        <f t="shared" si="29"/>
        <v>399.2</v>
      </c>
    </row>
    <row r="276" spans="1:38" ht="27.6" hidden="1" outlineLevel="2" x14ac:dyDescent="0.3">
      <c r="A276" s="1130"/>
      <c r="B276" s="1131" t="s">
        <v>1414</v>
      </c>
      <c r="C276" s="1132" t="s">
        <v>1415</v>
      </c>
      <c r="D276" s="1133" t="s">
        <v>1416</v>
      </c>
      <c r="E276" s="1134">
        <f t="shared" ref="E276:E324" si="30">46150/50</f>
        <v>923</v>
      </c>
      <c r="F276" s="1135">
        <v>199.6</v>
      </c>
      <c r="G276" s="1135">
        <v>0</v>
      </c>
      <c r="H276" s="1135">
        <v>0</v>
      </c>
      <c r="I276" s="1135">
        <v>0</v>
      </c>
      <c r="J276" s="1135">
        <v>0</v>
      </c>
      <c r="K276" s="1135">
        <f t="shared" ref="K276:K324" si="31">1800/50</f>
        <v>36</v>
      </c>
      <c r="L276" s="1135">
        <v>0</v>
      </c>
      <c r="M276" s="1135">
        <v>0</v>
      </c>
      <c r="N276" s="1135">
        <v>0</v>
      </c>
      <c r="O276" s="1135">
        <v>0</v>
      </c>
      <c r="P276" s="1135">
        <v>0</v>
      </c>
      <c r="Q276" s="1135">
        <v>0</v>
      </c>
      <c r="R276" s="1135">
        <v>0</v>
      </c>
      <c r="S276" s="1135">
        <v>0</v>
      </c>
      <c r="T276" s="1135">
        <v>0</v>
      </c>
      <c r="U276" s="1135">
        <f t="shared" si="28"/>
        <v>800</v>
      </c>
      <c r="V276" s="1135">
        <v>0</v>
      </c>
      <c r="W276" s="1135">
        <v>0</v>
      </c>
      <c r="X276" s="1135">
        <v>0</v>
      </c>
      <c r="Y276" s="1135">
        <v>0</v>
      </c>
      <c r="Z276" s="1135">
        <v>0</v>
      </c>
      <c r="AA276" s="1135">
        <v>0</v>
      </c>
      <c r="AB276" s="1135">
        <v>0</v>
      </c>
      <c r="AC276" s="1135">
        <v>0</v>
      </c>
      <c r="AD276" s="1135">
        <v>0</v>
      </c>
      <c r="AE276" s="1135">
        <f t="shared" ref="AE276:AE324" si="32">18.5*3</f>
        <v>55.5</v>
      </c>
      <c r="AF276" s="1135">
        <v>0</v>
      </c>
      <c r="AG276" s="1135">
        <f t="shared" ref="AG276:AG324" si="33">1340/50</f>
        <v>26.8</v>
      </c>
      <c r="AH276" s="1135">
        <v>0</v>
      </c>
      <c r="AI276" s="1135">
        <v>0</v>
      </c>
      <c r="AJ276" s="1136"/>
      <c r="AK276" s="1137">
        <f t="shared" si="29"/>
        <v>4.7000000000000455</v>
      </c>
      <c r="AL276" s="1137">
        <f t="shared" si="29"/>
        <v>199.6</v>
      </c>
    </row>
    <row r="277" spans="1:38" hidden="1" outlineLevel="2" x14ac:dyDescent="0.3">
      <c r="A277" s="1130"/>
      <c r="B277" s="1138" t="s">
        <v>1417</v>
      </c>
      <c r="C277" s="1139" t="s">
        <v>1418</v>
      </c>
      <c r="D277" s="1140" t="s">
        <v>1413</v>
      </c>
      <c r="E277" s="1134">
        <f t="shared" si="30"/>
        <v>923</v>
      </c>
      <c r="F277" s="1141">
        <v>199.6</v>
      </c>
      <c r="G277" s="1141"/>
      <c r="H277" s="1141"/>
      <c r="I277" s="1141"/>
      <c r="J277" s="1141"/>
      <c r="K277" s="1135">
        <f t="shared" si="31"/>
        <v>36</v>
      </c>
      <c r="L277" s="1141"/>
      <c r="M277" s="1141"/>
      <c r="N277" s="1141"/>
      <c r="O277" s="1141"/>
      <c r="P277" s="1141"/>
      <c r="Q277" s="1141"/>
      <c r="R277" s="1141"/>
      <c r="S277" s="1141"/>
      <c r="T277" s="1141"/>
      <c r="U277" s="1135">
        <f t="shared" si="28"/>
        <v>800</v>
      </c>
      <c r="V277" s="1141"/>
      <c r="W277" s="1141"/>
      <c r="X277" s="1141"/>
      <c r="Y277" s="1141"/>
      <c r="Z277" s="1141"/>
      <c r="AA277" s="1141"/>
      <c r="AB277" s="1141"/>
      <c r="AC277" s="1141"/>
      <c r="AD277" s="1141"/>
      <c r="AE277" s="1135">
        <f t="shared" si="32"/>
        <v>55.5</v>
      </c>
      <c r="AF277" s="1141"/>
      <c r="AG277" s="1135">
        <f t="shared" si="33"/>
        <v>26.8</v>
      </c>
      <c r="AH277" s="1141"/>
      <c r="AI277" s="1141"/>
      <c r="AJ277" s="1142"/>
      <c r="AK277" s="1137">
        <f t="shared" si="29"/>
        <v>4.7000000000000455</v>
      </c>
      <c r="AL277" s="1137">
        <f t="shared" si="29"/>
        <v>199.6</v>
      </c>
    </row>
    <row r="278" spans="1:38" hidden="1" outlineLevel="2" x14ac:dyDescent="0.3">
      <c r="A278" s="1130"/>
      <c r="B278" s="1138" t="s">
        <v>1419</v>
      </c>
      <c r="C278" s="1139" t="s">
        <v>1420</v>
      </c>
      <c r="D278" s="1140" t="s">
        <v>1421</v>
      </c>
      <c r="E278" s="1134">
        <f t="shared" si="30"/>
        <v>923</v>
      </c>
      <c r="F278" s="1141">
        <v>449.09999999999997</v>
      </c>
      <c r="G278" s="1141"/>
      <c r="H278" s="1141"/>
      <c r="I278" s="1141"/>
      <c r="J278" s="1141"/>
      <c r="K278" s="1135">
        <f t="shared" si="31"/>
        <v>36</v>
      </c>
      <c r="L278" s="1141"/>
      <c r="M278" s="1141"/>
      <c r="N278" s="1141"/>
      <c r="O278" s="1141"/>
      <c r="P278" s="1141"/>
      <c r="Q278" s="1141"/>
      <c r="R278" s="1141"/>
      <c r="S278" s="1141"/>
      <c r="T278" s="1141"/>
      <c r="U278" s="1135">
        <f t="shared" si="28"/>
        <v>800</v>
      </c>
      <c r="V278" s="1141"/>
      <c r="W278" s="1141"/>
      <c r="X278" s="1141"/>
      <c r="Y278" s="1141"/>
      <c r="Z278" s="1141"/>
      <c r="AA278" s="1141"/>
      <c r="AB278" s="1141"/>
      <c r="AC278" s="1141"/>
      <c r="AD278" s="1141"/>
      <c r="AE278" s="1135">
        <f t="shared" si="32"/>
        <v>55.5</v>
      </c>
      <c r="AF278" s="1141"/>
      <c r="AG278" s="1135">
        <f t="shared" si="33"/>
        <v>26.8</v>
      </c>
      <c r="AH278" s="1141"/>
      <c r="AI278" s="1141"/>
      <c r="AJ278" s="1142"/>
      <c r="AK278" s="1137">
        <f t="shared" si="29"/>
        <v>4.7000000000000455</v>
      </c>
      <c r="AL278" s="1137">
        <f t="shared" si="29"/>
        <v>449.09999999999997</v>
      </c>
    </row>
    <row r="279" spans="1:38" hidden="1" outlineLevel="2" x14ac:dyDescent="0.3">
      <c r="A279" s="1130"/>
      <c r="B279" s="1138" t="s">
        <v>1422</v>
      </c>
      <c r="C279" s="1139" t="s">
        <v>1420</v>
      </c>
      <c r="D279" s="1140" t="s">
        <v>1413</v>
      </c>
      <c r="E279" s="1134">
        <f t="shared" si="30"/>
        <v>923</v>
      </c>
      <c r="F279" s="1141">
        <v>249.5</v>
      </c>
      <c r="G279" s="1141"/>
      <c r="H279" s="1141"/>
      <c r="I279" s="1141"/>
      <c r="J279" s="1141"/>
      <c r="K279" s="1135">
        <f t="shared" si="31"/>
        <v>36</v>
      </c>
      <c r="L279" s="1141"/>
      <c r="M279" s="1141"/>
      <c r="N279" s="1141"/>
      <c r="O279" s="1141"/>
      <c r="P279" s="1141"/>
      <c r="Q279" s="1141"/>
      <c r="R279" s="1141"/>
      <c r="S279" s="1141"/>
      <c r="T279" s="1141"/>
      <c r="U279" s="1135">
        <f t="shared" si="28"/>
        <v>800</v>
      </c>
      <c r="V279" s="1141"/>
      <c r="W279" s="1141"/>
      <c r="X279" s="1141"/>
      <c r="Y279" s="1141"/>
      <c r="Z279" s="1141"/>
      <c r="AA279" s="1141"/>
      <c r="AB279" s="1141"/>
      <c r="AC279" s="1141"/>
      <c r="AD279" s="1141"/>
      <c r="AE279" s="1135">
        <f t="shared" si="32"/>
        <v>55.5</v>
      </c>
      <c r="AF279" s="1141"/>
      <c r="AG279" s="1135">
        <f t="shared" si="33"/>
        <v>26.8</v>
      </c>
      <c r="AH279" s="1141"/>
      <c r="AI279" s="1141"/>
      <c r="AJ279" s="1142"/>
      <c r="AK279" s="1137">
        <f t="shared" si="29"/>
        <v>4.7000000000000455</v>
      </c>
      <c r="AL279" s="1137">
        <f t="shared" si="29"/>
        <v>249.5</v>
      </c>
    </row>
    <row r="280" spans="1:38" hidden="1" outlineLevel="2" x14ac:dyDescent="0.3">
      <c r="A280" s="1130"/>
      <c r="B280" s="1138" t="s">
        <v>1423</v>
      </c>
      <c r="C280" s="1139" t="s">
        <v>1424</v>
      </c>
      <c r="D280" s="1140" t="s">
        <v>1425</v>
      </c>
      <c r="E280" s="1134">
        <f t="shared" si="30"/>
        <v>923</v>
      </c>
      <c r="F280" s="1141">
        <v>399.2</v>
      </c>
      <c r="G280" s="1141"/>
      <c r="H280" s="1141"/>
      <c r="I280" s="1141"/>
      <c r="J280" s="1141"/>
      <c r="K280" s="1135">
        <f t="shared" si="31"/>
        <v>36</v>
      </c>
      <c r="L280" s="1141"/>
      <c r="M280" s="1141"/>
      <c r="N280" s="1141"/>
      <c r="O280" s="1141"/>
      <c r="P280" s="1141"/>
      <c r="Q280" s="1141"/>
      <c r="R280" s="1141"/>
      <c r="S280" s="1141"/>
      <c r="T280" s="1141"/>
      <c r="U280" s="1135">
        <f t="shared" si="28"/>
        <v>800</v>
      </c>
      <c r="V280" s="1141"/>
      <c r="W280" s="1141"/>
      <c r="X280" s="1141"/>
      <c r="Y280" s="1141"/>
      <c r="Z280" s="1141"/>
      <c r="AA280" s="1141"/>
      <c r="AB280" s="1141"/>
      <c r="AC280" s="1141"/>
      <c r="AD280" s="1141"/>
      <c r="AE280" s="1135">
        <f t="shared" si="32"/>
        <v>55.5</v>
      </c>
      <c r="AF280" s="1141"/>
      <c r="AG280" s="1135">
        <f t="shared" si="33"/>
        <v>26.8</v>
      </c>
      <c r="AH280" s="1141"/>
      <c r="AI280" s="1141"/>
      <c r="AJ280" s="1142"/>
      <c r="AK280" s="1137">
        <f t="shared" si="29"/>
        <v>4.7000000000000455</v>
      </c>
      <c r="AL280" s="1137">
        <f t="shared" si="29"/>
        <v>399.2</v>
      </c>
    </row>
    <row r="281" spans="1:38" ht="27.6" hidden="1" outlineLevel="2" x14ac:dyDescent="0.3">
      <c r="A281" s="1130"/>
      <c r="B281" s="1138" t="s">
        <v>1426</v>
      </c>
      <c r="C281" s="1139" t="s">
        <v>1424</v>
      </c>
      <c r="D281" s="1140" t="s">
        <v>1427</v>
      </c>
      <c r="E281" s="1134">
        <f t="shared" si="30"/>
        <v>923</v>
      </c>
      <c r="F281" s="1141">
        <v>249.5</v>
      </c>
      <c r="G281" s="1141"/>
      <c r="H281" s="1141"/>
      <c r="I281" s="1141"/>
      <c r="J281" s="1141"/>
      <c r="K281" s="1135">
        <f t="shared" si="31"/>
        <v>36</v>
      </c>
      <c r="L281" s="1141"/>
      <c r="M281" s="1141"/>
      <c r="N281" s="1141"/>
      <c r="O281" s="1141"/>
      <c r="P281" s="1141"/>
      <c r="Q281" s="1141"/>
      <c r="R281" s="1141"/>
      <c r="S281" s="1141"/>
      <c r="T281" s="1141"/>
      <c r="U281" s="1135">
        <f t="shared" si="28"/>
        <v>800</v>
      </c>
      <c r="V281" s="1141"/>
      <c r="W281" s="1141"/>
      <c r="X281" s="1141"/>
      <c r="Y281" s="1141"/>
      <c r="Z281" s="1141"/>
      <c r="AA281" s="1141"/>
      <c r="AB281" s="1141"/>
      <c r="AC281" s="1141"/>
      <c r="AD281" s="1141"/>
      <c r="AE281" s="1135">
        <f t="shared" si="32"/>
        <v>55.5</v>
      </c>
      <c r="AF281" s="1141"/>
      <c r="AG281" s="1135">
        <f t="shared" si="33"/>
        <v>26.8</v>
      </c>
      <c r="AH281" s="1141"/>
      <c r="AI281" s="1141"/>
      <c r="AJ281" s="1142"/>
      <c r="AK281" s="1137">
        <f t="shared" si="29"/>
        <v>4.7000000000000455</v>
      </c>
      <c r="AL281" s="1137">
        <f t="shared" si="29"/>
        <v>249.5</v>
      </c>
    </row>
    <row r="282" spans="1:38" hidden="1" outlineLevel="2" x14ac:dyDescent="0.3">
      <c r="A282" s="1130"/>
      <c r="B282" s="1138" t="s">
        <v>1428</v>
      </c>
      <c r="C282" s="1139" t="s">
        <v>1424</v>
      </c>
      <c r="D282" s="1140" t="s">
        <v>1421</v>
      </c>
      <c r="E282" s="1134">
        <f t="shared" si="30"/>
        <v>923</v>
      </c>
      <c r="F282" s="1141">
        <v>249.5</v>
      </c>
      <c r="G282" s="1141"/>
      <c r="H282" s="1141"/>
      <c r="I282" s="1141"/>
      <c r="J282" s="1141"/>
      <c r="K282" s="1135">
        <f t="shared" si="31"/>
        <v>36</v>
      </c>
      <c r="L282" s="1141"/>
      <c r="M282" s="1141"/>
      <c r="N282" s="1141"/>
      <c r="O282" s="1141"/>
      <c r="P282" s="1141"/>
      <c r="Q282" s="1141"/>
      <c r="R282" s="1141"/>
      <c r="S282" s="1141"/>
      <c r="T282" s="1141"/>
      <c r="U282" s="1135">
        <f t="shared" si="28"/>
        <v>800</v>
      </c>
      <c r="V282" s="1141"/>
      <c r="W282" s="1141"/>
      <c r="X282" s="1141"/>
      <c r="Y282" s="1141"/>
      <c r="Z282" s="1141"/>
      <c r="AA282" s="1141"/>
      <c r="AB282" s="1141"/>
      <c r="AC282" s="1141"/>
      <c r="AD282" s="1141"/>
      <c r="AE282" s="1135">
        <f t="shared" si="32"/>
        <v>55.5</v>
      </c>
      <c r="AF282" s="1141"/>
      <c r="AG282" s="1135">
        <f t="shared" si="33"/>
        <v>26.8</v>
      </c>
      <c r="AH282" s="1141"/>
      <c r="AI282" s="1141"/>
      <c r="AJ282" s="1142"/>
      <c r="AK282" s="1137">
        <f t="shared" si="29"/>
        <v>4.7000000000000455</v>
      </c>
      <c r="AL282" s="1137">
        <f t="shared" si="29"/>
        <v>249.5</v>
      </c>
    </row>
    <row r="283" spans="1:38" ht="27.6" hidden="1" outlineLevel="2" x14ac:dyDescent="0.3">
      <c r="A283" s="1130"/>
      <c r="B283" s="1138" t="s">
        <v>1429</v>
      </c>
      <c r="C283" s="1139" t="s">
        <v>1430</v>
      </c>
      <c r="D283" s="1140" t="s">
        <v>1431</v>
      </c>
      <c r="E283" s="1134">
        <f t="shared" si="30"/>
        <v>923</v>
      </c>
      <c r="F283" s="1141">
        <v>399.2</v>
      </c>
      <c r="G283" s="1141"/>
      <c r="H283" s="1141"/>
      <c r="I283" s="1141"/>
      <c r="J283" s="1141"/>
      <c r="K283" s="1135">
        <f t="shared" si="31"/>
        <v>36</v>
      </c>
      <c r="L283" s="1141"/>
      <c r="M283" s="1141"/>
      <c r="N283" s="1141"/>
      <c r="O283" s="1141"/>
      <c r="P283" s="1141"/>
      <c r="Q283" s="1141"/>
      <c r="R283" s="1141"/>
      <c r="S283" s="1141"/>
      <c r="T283" s="1141"/>
      <c r="U283" s="1135">
        <f t="shared" si="28"/>
        <v>800</v>
      </c>
      <c r="V283" s="1141"/>
      <c r="W283" s="1141"/>
      <c r="X283" s="1141"/>
      <c r="Y283" s="1141"/>
      <c r="Z283" s="1141"/>
      <c r="AA283" s="1141"/>
      <c r="AB283" s="1141"/>
      <c r="AC283" s="1141"/>
      <c r="AD283" s="1141"/>
      <c r="AE283" s="1135">
        <f t="shared" si="32"/>
        <v>55.5</v>
      </c>
      <c r="AF283" s="1141"/>
      <c r="AG283" s="1135">
        <f t="shared" si="33"/>
        <v>26.8</v>
      </c>
      <c r="AH283" s="1141"/>
      <c r="AI283" s="1141"/>
      <c r="AJ283" s="1142"/>
      <c r="AK283" s="1137">
        <f t="shared" si="29"/>
        <v>4.7000000000000455</v>
      </c>
      <c r="AL283" s="1137">
        <f t="shared" si="29"/>
        <v>399.2</v>
      </c>
    </row>
    <row r="284" spans="1:38" ht="27.6" hidden="1" outlineLevel="2" x14ac:dyDescent="0.3">
      <c r="A284" s="1130"/>
      <c r="B284" s="1138" t="s">
        <v>1432</v>
      </c>
      <c r="C284" s="1139" t="s">
        <v>1433</v>
      </c>
      <c r="D284" s="1140" t="s">
        <v>1413</v>
      </c>
      <c r="E284" s="1134">
        <f t="shared" si="30"/>
        <v>923</v>
      </c>
      <c r="F284" s="1141">
        <v>99.8</v>
      </c>
      <c r="G284" s="1141"/>
      <c r="H284" s="1141"/>
      <c r="I284" s="1141"/>
      <c r="J284" s="1141"/>
      <c r="K284" s="1135">
        <f t="shared" si="31"/>
        <v>36</v>
      </c>
      <c r="L284" s="1141"/>
      <c r="M284" s="1141"/>
      <c r="N284" s="1141"/>
      <c r="O284" s="1141"/>
      <c r="P284" s="1141"/>
      <c r="Q284" s="1141"/>
      <c r="R284" s="1141"/>
      <c r="S284" s="1141"/>
      <c r="T284" s="1141"/>
      <c r="U284" s="1135">
        <f t="shared" si="28"/>
        <v>800</v>
      </c>
      <c r="V284" s="1141"/>
      <c r="W284" s="1141"/>
      <c r="X284" s="1141"/>
      <c r="Y284" s="1141"/>
      <c r="Z284" s="1141"/>
      <c r="AA284" s="1141"/>
      <c r="AB284" s="1141"/>
      <c r="AC284" s="1141"/>
      <c r="AD284" s="1141"/>
      <c r="AE284" s="1135">
        <f t="shared" si="32"/>
        <v>55.5</v>
      </c>
      <c r="AF284" s="1141"/>
      <c r="AG284" s="1135">
        <f t="shared" si="33"/>
        <v>26.8</v>
      </c>
      <c r="AH284" s="1141"/>
      <c r="AI284" s="1141"/>
      <c r="AJ284" s="1142"/>
      <c r="AK284" s="1137">
        <f t="shared" si="29"/>
        <v>4.7000000000000455</v>
      </c>
      <c r="AL284" s="1137">
        <f t="shared" si="29"/>
        <v>99.8</v>
      </c>
    </row>
    <row r="285" spans="1:38" ht="27.6" hidden="1" outlineLevel="2" x14ac:dyDescent="0.3">
      <c r="A285" s="1130"/>
      <c r="B285" s="1138" t="s">
        <v>1434</v>
      </c>
      <c r="C285" s="1139" t="s">
        <v>1435</v>
      </c>
      <c r="D285" s="1140" t="s">
        <v>1436</v>
      </c>
      <c r="E285" s="1134">
        <f t="shared" si="30"/>
        <v>923</v>
      </c>
      <c r="F285" s="1141">
        <v>499</v>
      </c>
      <c r="G285" s="1141"/>
      <c r="H285" s="1141"/>
      <c r="I285" s="1141"/>
      <c r="J285" s="1141"/>
      <c r="K285" s="1135">
        <f t="shared" si="31"/>
        <v>36</v>
      </c>
      <c r="L285" s="1141"/>
      <c r="M285" s="1141"/>
      <c r="N285" s="1141"/>
      <c r="O285" s="1141"/>
      <c r="P285" s="1141"/>
      <c r="Q285" s="1141"/>
      <c r="R285" s="1141"/>
      <c r="S285" s="1141"/>
      <c r="T285" s="1141"/>
      <c r="U285" s="1135">
        <f t="shared" si="28"/>
        <v>800</v>
      </c>
      <c r="V285" s="1141"/>
      <c r="W285" s="1141"/>
      <c r="X285" s="1141"/>
      <c r="Y285" s="1141"/>
      <c r="Z285" s="1141"/>
      <c r="AA285" s="1141"/>
      <c r="AB285" s="1141"/>
      <c r="AC285" s="1141"/>
      <c r="AD285" s="1141"/>
      <c r="AE285" s="1135">
        <f t="shared" si="32"/>
        <v>55.5</v>
      </c>
      <c r="AF285" s="1141"/>
      <c r="AG285" s="1135">
        <f t="shared" si="33"/>
        <v>26.8</v>
      </c>
      <c r="AH285" s="1141"/>
      <c r="AI285" s="1141"/>
      <c r="AJ285" s="1142"/>
      <c r="AK285" s="1137">
        <f t="shared" si="29"/>
        <v>4.7000000000000455</v>
      </c>
      <c r="AL285" s="1137">
        <f t="shared" si="29"/>
        <v>499</v>
      </c>
    </row>
    <row r="286" spans="1:38" ht="27.6" hidden="1" outlineLevel="2" x14ac:dyDescent="0.3">
      <c r="A286" s="1130"/>
      <c r="B286" s="1138" t="s">
        <v>1437</v>
      </c>
      <c r="C286" s="1139" t="s">
        <v>1435</v>
      </c>
      <c r="D286" s="1140" t="s">
        <v>1425</v>
      </c>
      <c r="E286" s="1134">
        <f t="shared" si="30"/>
        <v>923</v>
      </c>
      <c r="F286" s="1141">
        <v>149.69999999999999</v>
      </c>
      <c r="G286" s="1141"/>
      <c r="H286" s="1141"/>
      <c r="I286" s="1141"/>
      <c r="J286" s="1141"/>
      <c r="K286" s="1135">
        <f t="shared" si="31"/>
        <v>36</v>
      </c>
      <c r="L286" s="1141"/>
      <c r="M286" s="1141"/>
      <c r="N286" s="1141"/>
      <c r="O286" s="1141"/>
      <c r="P286" s="1141"/>
      <c r="Q286" s="1141"/>
      <c r="R286" s="1141"/>
      <c r="S286" s="1141"/>
      <c r="T286" s="1141"/>
      <c r="U286" s="1135">
        <f t="shared" si="28"/>
        <v>800</v>
      </c>
      <c r="V286" s="1141"/>
      <c r="W286" s="1141"/>
      <c r="X286" s="1141"/>
      <c r="Y286" s="1141"/>
      <c r="Z286" s="1141"/>
      <c r="AA286" s="1141"/>
      <c r="AB286" s="1141"/>
      <c r="AC286" s="1141"/>
      <c r="AD286" s="1141"/>
      <c r="AE286" s="1135">
        <f t="shared" si="32"/>
        <v>55.5</v>
      </c>
      <c r="AF286" s="1141"/>
      <c r="AG286" s="1135">
        <f t="shared" si="33"/>
        <v>26.8</v>
      </c>
      <c r="AH286" s="1141"/>
      <c r="AI286" s="1141"/>
      <c r="AJ286" s="1142"/>
      <c r="AK286" s="1137">
        <f t="shared" si="29"/>
        <v>4.7000000000000455</v>
      </c>
      <c r="AL286" s="1137">
        <f t="shared" si="29"/>
        <v>149.69999999999999</v>
      </c>
    </row>
    <row r="287" spans="1:38" hidden="1" outlineLevel="2" x14ac:dyDescent="0.3">
      <c r="A287" s="1130"/>
      <c r="B287" s="1138" t="s">
        <v>1438</v>
      </c>
      <c r="C287" s="1139" t="s">
        <v>1439</v>
      </c>
      <c r="D287" s="1140" t="s">
        <v>1440</v>
      </c>
      <c r="E287" s="1134">
        <f t="shared" si="30"/>
        <v>923</v>
      </c>
      <c r="F287" s="1141">
        <v>399.2</v>
      </c>
      <c r="G287" s="1141"/>
      <c r="H287" s="1141"/>
      <c r="I287" s="1141"/>
      <c r="J287" s="1141"/>
      <c r="K287" s="1135">
        <f t="shared" si="31"/>
        <v>36</v>
      </c>
      <c r="L287" s="1141"/>
      <c r="M287" s="1141"/>
      <c r="N287" s="1141"/>
      <c r="O287" s="1141"/>
      <c r="P287" s="1141"/>
      <c r="Q287" s="1141"/>
      <c r="R287" s="1141"/>
      <c r="S287" s="1141"/>
      <c r="T287" s="1141"/>
      <c r="U287" s="1135">
        <f t="shared" si="28"/>
        <v>800</v>
      </c>
      <c r="V287" s="1141"/>
      <c r="W287" s="1141"/>
      <c r="X287" s="1141"/>
      <c r="Y287" s="1141"/>
      <c r="Z287" s="1141"/>
      <c r="AA287" s="1141"/>
      <c r="AB287" s="1141"/>
      <c r="AC287" s="1141"/>
      <c r="AD287" s="1141"/>
      <c r="AE287" s="1135">
        <f t="shared" si="32"/>
        <v>55.5</v>
      </c>
      <c r="AF287" s="1141"/>
      <c r="AG287" s="1135">
        <f t="shared" si="33"/>
        <v>26.8</v>
      </c>
      <c r="AH287" s="1141"/>
      <c r="AI287" s="1141"/>
      <c r="AJ287" s="1142"/>
      <c r="AK287" s="1137">
        <f t="shared" si="29"/>
        <v>4.7000000000000455</v>
      </c>
      <c r="AL287" s="1137">
        <f t="shared" si="29"/>
        <v>399.2</v>
      </c>
    </row>
    <row r="288" spans="1:38" hidden="1" outlineLevel="2" x14ac:dyDescent="0.3">
      <c r="A288" s="1130"/>
      <c r="B288" s="1138" t="s">
        <v>1441</v>
      </c>
      <c r="C288" s="1139" t="s">
        <v>1435</v>
      </c>
      <c r="D288" s="1140" t="s">
        <v>1442</v>
      </c>
      <c r="E288" s="1134">
        <f t="shared" si="30"/>
        <v>923</v>
      </c>
      <c r="F288" s="1141">
        <v>149.69999999999999</v>
      </c>
      <c r="G288" s="1141"/>
      <c r="H288" s="1141"/>
      <c r="I288" s="1141"/>
      <c r="J288" s="1141"/>
      <c r="K288" s="1135">
        <f t="shared" si="31"/>
        <v>36</v>
      </c>
      <c r="L288" s="1141"/>
      <c r="M288" s="1141"/>
      <c r="N288" s="1141"/>
      <c r="O288" s="1141"/>
      <c r="P288" s="1141"/>
      <c r="Q288" s="1141"/>
      <c r="R288" s="1141"/>
      <c r="S288" s="1141"/>
      <c r="T288" s="1141"/>
      <c r="U288" s="1135">
        <f t="shared" si="28"/>
        <v>800</v>
      </c>
      <c r="V288" s="1141"/>
      <c r="W288" s="1141"/>
      <c r="X288" s="1141"/>
      <c r="Y288" s="1141"/>
      <c r="Z288" s="1141"/>
      <c r="AA288" s="1141"/>
      <c r="AB288" s="1141"/>
      <c r="AC288" s="1141"/>
      <c r="AD288" s="1141"/>
      <c r="AE288" s="1135">
        <f t="shared" si="32"/>
        <v>55.5</v>
      </c>
      <c r="AF288" s="1141"/>
      <c r="AG288" s="1135">
        <f t="shared" si="33"/>
        <v>26.8</v>
      </c>
      <c r="AH288" s="1141"/>
      <c r="AI288" s="1141"/>
      <c r="AJ288" s="1142"/>
      <c r="AK288" s="1137">
        <f t="shared" si="29"/>
        <v>4.7000000000000455</v>
      </c>
      <c r="AL288" s="1137">
        <f t="shared" si="29"/>
        <v>149.69999999999999</v>
      </c>
    </row>
    <row r="289" spans="1:38" hidden="1" outlineLevel="2" x14ac:dyDescent="0.3">
      <c r="A289" s="1130"/>
      <c r="B289" s="1138" t="s">
        <v>1443</v>
      </c>
      <c r="C289" s="1139" t="s">
        <v>1435</v>
      </c>
      <c r="D289" s="1140" t="s">
        <v>1413</v>
      </c>
      <c r="E289" s="1134">
        <f t="shared" si="30"/>
        <v>923</v>
      </c>
      <c r="F289" s="1141">
        <v>349.3</v>
      </c>
      <c r="G289" s="1141"/>
      <c r="H289" s="1141"/>
      <c r="I289" s="1141"/>
      <c r="J289" s="1141"/>
      <c r="K289" s="1135">
        <f t="shared" si="31"/>
        <v>36</v>
      </c>
      <c r="L289" s="1141"/>
      <c r="M289" s="1141"/>
      <c r="N289" s="1141"/>
      <c r="O289" s="1141"/>
      <c r="P289" s="1141"/>
      <c r="Q289" s="1141"/>
      <c r="R289" s="1141"/>
      <c r="S289" s="1141"/>
      <c r="T289" s="1141"/>
      <c r="U289" s="1135">
        <f t="shared" si="28"/>
        <v>800</v>
      </c>
      <c r="V289" s="1141"/>
      <c r="W289" s="1141"/>
      <c r="X289" s="1141"/>
      <c r="Y289" s="1141"/>
      <c r="Z289" s="1141"/>
      <c r="AA289" s="1141"/>
      <c r="AB289" s="1141"/>
      <c r="AC289" s="1141"/>
      <c r="AD289" s="1141"/>
      <c r="AE289" s="1135">
        <f t="shared" si="32"/>
        <v>55.5</v>
      </c>
      <c r="AF289" s="1141"/>
      <c r="AG289" s="1135">
        <f t="shared" si="33"/>
        <v>26.8</v>
      </c>
      <c r="AH289" s="1141"/>
      <c r="AI289" s="1141"/>
      <c r="AJ289" s="1142"/>
      <c r="AK289" s="1137">
        <f t="shared" si="29"/>
        <v>4.7000000000000455</v>
      </c>
      <c r="AL289" s="1137">
        <f t="shared" si="29"/>
        <v>349.3</v>
      </c>
    </row>
    <row r="290" spans="1:38" ht="27.6" hidden="1" outlineLevel="2" x14ac:dyDescent="0.3">
      <c r="A290" s="1130"/>
      <c r="B290" s="1138" t="s">
        <v>1444</v>
      </c>
      <c r="C290" s="1139" t="s">
        <v>1445</v>
      </c>
      <c r="D290" s="1140" t="s">
        <v>1416</v>
      </c>
      <c r="E290" s="1134">
        <f t="shared" si="30"/>
        <v>923</v>
      </c>
      <c r="F290" s="1141">
        <v>349.3</v>
      </c>
      <c r="G290" s="1141"/>
      <c r="H290" s="1141"/>
      <c r="I290" s="1141"/>
      <c r="J290" s="1141"/>
      <c r="K290" s="1135">
        <f t="shared" si="31"/>
        <v>36</v>
      </c>
      <c r="L290" s="1141"/>
      <c r="M290" s="1141"/>
      <c r="N290" s="1141"/>
      <c r="O290" s="1141"/>
      <c r="P290" s="1141"/>
      <c r="Q290" s="1141"/>
      <c r="R290" s="1141"/>
      <c r="S290" s="1141"/>
      <c r="T290" s="1141"/>
      <c r="U290" s="1135">
        <f t="shared" si="28"/>
        <v>800</v>
      </c>
      <c r="V290" s="1141"/>
      <c r="W290" s="1141"/>
      <c r="X290" s="1141"/>
      <c r="Y290" s="1141"/>
      <c r="Z290" s="1141"/>
      <c r="AA290" s="1141"/>
      <c r="AB290" s="1141"/>
      <c r="AC290" s="1141"/>
      <c r="AD290" s="1141"/>
      <c r="AE290" s="1135">
        <f t="shared" si="32"/>
        <v>55.5</v>
      </c>
      <c r="AF290" s="1141"/>
      <c r="AG290" s="1135">
        <f t="shared" si="33"/>
        <v>26.8</v>
      </c>
      <c r="AH290" s="1141"/>
      <c r="AI290" s="1141"/>
      <c r="AJ290" s="1142"/>
      <c r="AK290" s="1137">
        <f t="shared" si="29"/>
        <v>4.7000000000000455</v>
      </c>
      <c r="AL290" s="1137">
        <f t="shared" si="29"/>
        <v>349.3</v>
      </c>
    </row>
    <row r="291" spans="1:38" ht="27.6" hidden="1" outlineLevel="2" x14ac:dyDescent="0.3">
      <c r="A291" s="1130"/>
      <c r="B291" s="1138" t="s">
        <v>1446</v>
      </c>
      <c r="C291" s="1139" t="s">
        <v>1447</v>
      </c>
      <c r="D291" s="1140" t="s">
        <v>1431</v>
      </c>
      <c r="E291" s="1134">
        <f t="shared" si="30"/>
        <v>923</v>
      </c>
      <c r="F291" s="1141">
        <v>698.6</v>
      </c>
      <c r="G291" s="1141"/>
      <c r="H291" s="1141"/>
      <c r="I291" s="1141"/>
      <c r="J291" s="1141"/>
      <c r="K291" s="1135">
        <f t="shared" si="31"/>
        <v>36</v>
      </c>
      <c r="L291" s="1141"/>
      <c r="M291" s="1141"/>
      <c r="N291" s="1141"/>
      <c r="O291" s="1141"/>
      <c r="P291" s="1141"/>
      <c r="Q291" s="1141"/>
      <c r="R291" s="1141"/>
      <c r="S291" s="1141"/>
      <c r="T291" s="1141"/>
      <c r="U291" s="1135">
        <f t="shared" si="28"/>
        <v>800</v>
      </c>
      <c r="V291" s="1141"/>
      <c r="W291" s="1141"/>
      <c r="X291" s="1141"/>
      <c r="Y291" s="1141"/>
      <c r="Z291" s="1141"/>
      <c r="AA291" s="1141"/>
      <c r="AB291" s="1141"/>
      <c r="AC291" s="1141"/>
      <c r="AD291" s="1141"/>
      <c r="AE291" s="1135">
        <f t="shared" si="32"/>
        <v>55.5</v>
      </c>
      <c r="AF291" s="1141"/>
      <c r="AG291" s="1135">
        <f t="shared" si="33"/>
        <v>26.8</v>
      </c>
      <c r="AH291" s="1141"/>
      <c r="AI291" s="1141"/>
      <c r="AJ291" s="1142"/>
      <c r="AK291" s="1137">
        <f t="shared" si="29"/>
        <v>4.7000000000000455</v>
      </c>
      <c r="AL291" s="1137">
        <f t="shared" si="29"/>
        <v>698.6</v>
      </c>
    </row>
    <row r="292" spans="1:38" hidden="1" outlineLevel="2" x14ac:dyDescent="0.3">
      <c r="A292" s="1130"/>
      <c r="B292" s="1138" t="s">
        <v>1448</v>
      </c>
      <c r="C292" s="1139" t="s">
        <v>1449</v>
      </c>
      <c r="D292" s="1140" t="s">
        <v>1440</v>
      </c>
      <c r="E292" s="1134">
        <f t="shared" si="30"/>
        <v>923</v>
      </c>
      <c r="F292" s="1141">
        <v>449.09999999999997</v>
      </c>
      <c r="G292" s="1141"/>
      <c r="H292" s="1141"/>
      <c r="I292" s="1141"/>
      <c r="J292" s="1141"/>
      <c r="K292" s="1135">
        <f t="shared" si="31"/>
        <v>36</v>
      </c>
      <c r="L292" s="1141"/>
      <c r="M292" s="1141"/>
      <c r="N292" s="1141"/>
      <c r="O292" s="1141"/>
      <c r="P292" s="1141"/>
      <c r="Q292" s="1141"/>
      <c r="R292" s="1141"/>
      <c r="S292" s="1141"/>
      <c r="T292" s="1141"/>
      <c r="U292" s="1135">
        <f t="shared" si="28"/>
        <v>800</v>
      </c>
      <c r="V292" s="1141"/>
      <c r="W292" s="1141"/>
      <c r="X292" s="1141"/>
      <c r="Y292" s="1141"/>
      <c r="Z292" s="1141"/>
      <c r="AA292" s="1141"/>
      <c r="AB292" s="1141"/>
      <c r="AC292" s="1141"/>
      <c r="AD292" s="1141"/>
      <c r="AE292" s="1135">
        <f t="shared" si="32"/>
        <v>55.5</v>
      </c>
      <c r="AF292" s="1141"/>
      <c r="AG292" s="1135">
        <f t="shared" si="33"/>
        <v>26.8</v>
      </c>
      <c r="AH292" s="1141"/>
      <c r="AI292" s="1141"/>
      <c r="AJ292" s="1142"/>
      <c r="AK292" s="1137">
        <f t="shared" si="29"/>
        <v>4.7000000000000455</v>
      </c>
      <c r="AL292" s="1137">
        <f t="shared" si="29"/>
        <v>449.09999999999997</v>
      </c>
    </row>
    <row r="293" spans="1:38" ht="27.6" hidden="1" outlineLevel="2" x14ac:dyDescent="0.3">
      <c r="A293" s="1130"/>
      <c r="B293" s="1138" t="s">
        <v>1450</v>
      </c>
      <c r="C293" s="1139" t="s">
        <v>1451</v>
      </c>
      <c r="D293" s="1140" t="s">
        <v>1442</v>
      </c>
      <c r="E293" s="1134">
        <f t="shared" si="30"/>
        <v>923</v>
      </c>
      <c r="F293" s="1141">
        <v>0</v>
      </c>
      <c r="G293" s="1141"/>
      <c r="H293" s="1141"/>
      <c r="I293" s="1141"/>
      <c r="J293" s="1141"/>
      <c r="K293" s="1135">
        <f t="shared" si="31"/>
        <v>36</v>
      </c>
      <c r="L293" s="1141"/>
      <c r="M293" s="1141"/>
      <c r="N293" s="1141"/>
      <c r="O293" s="1141"/>
      <c r="P293" s="1141"/>
      <c r="Q293" s="1141"/>
      <c r="R293" s="1141"/>
      <c r="S293" s="1141"/>
      <c r="T293" s="1141"/>
      <c r="U293" s="1135">
        <f t="shared" si="28"/>
        <v>800</v>
      </c>
      <c r="V293" s="1141"/>
      <c r="W293" s="1141"/>
      <c r="X293" s="1141"/>
      <c r="Y293" s="1141"/>
      <c r="Z293" s="1141"/>
      <c r="AA293" s="1141"/>
      <c r="AB293" s="1141"/>
      <c r="AC293" s="1141"/>
      <c r="AD293" s="1141"/>
      <c r="AE293" s="1135">
        <f t="shared" si="32"/>
        <v>55.5</v>
      </c>
      <c r="AF293" s="1141"/>
      <c r="AG293" s="1135">
        <f t="shared" si="33"/>
        <v>26.8</v>
      </c>
      <c r="AH293" s="1141"/>
      <c r="AI293" s="1141"/>
      <c r="AJ293" s="1142"/>
      <c r="AK293" s="1137">
        <f t="shared" si="29"/>
        <v>4.7000000000000455</v>
      </c>
      <c r="AL293" s="1137">
        <f t="shared" si="29"/>
        <v>0</v>
      </c>
    </row>
    <row r="294" spans="1:38" ht="27.6" hidden="1" outlineLevel="2" x14ac:dyDescent="0.3">
      <c r="A294" s="1130"/>
      <c r="B294" s="1138" t="s">
        <v>1452</v>
      </c>
      <c r="C294" s="1139" t="s">
        <v>1453</v>
      </c>
      <c r="D294" s="1140" t="s">
        <v>1413</v>
      </c>
      <c r="E294" s="1134">
        <f t="shared" si="30"/>
        <v>923</v>
      </c>
      <c r="F294" s="1141">
        <v>199.6</v>
      </c>
      <c r="G294" s="1141"/>
      <c r="H294" s="1141"/>
      <c r="I294" s="1141"/>
      <c r="J294" s="1141"/>
      <c r="K294" s="1135">
        <f t="shared" si="31"/>
        <v>36</v>
      </c>
      <c r="L294" s="1141"/>
      <c r="M294" s="1141"/>
      <c r="N294" s="1141"/>
      <c r="O294" s="1141"/>
      <c r="P294" s="1141"/>
      <c r="Q294" s="1141"/>
      <c r="R294" s="1141"/>
      <c r="S294" s="1141"/>
      <c r="T294" s="1141"/>
      <c r="U294" s="1135">
        <f t="shared" si="28"/>
        <v>800</v>
      </c>
      <c r="V294" s="1141"/>
      <c r="W294" s="1141"/>
      <c r="X294" s="1141"/>
      <c r="Y294" s="1141"/>
      <c r="Z294" s="1141"/>
      <c r="AA294" s="1141"/>
      <c r="AB294" s="1141"/>
      <c r="AC294" s="1141"/>
      <c r="AD294" s="1141"/>
      <c r="AE294" s="1135">
        <f t="shared" si="32"/>
        <v>55.5</v>
      </c>
      <c r="AF294" s="1141"/>
      <c r="AG294" s="1135">
        <f t="shared" si="33"/>
        <v>26.8</v>
      </c>
      <c r="AH294" s="1141"/>
      <c r="AI294" s="1141"/>
      <c r="AJ294" s="1142"/>
      <c r="AK294" s="1137">
        <f t="shared" si="29"/>
        <v>4.7000000000000455</v>
      </c>
      <c r="AL294" s="1137">
        <f t="shared" si="29"/>
        <v>199.6</v>
      </c>
    </row>
    <row r="295" spans="1:38" hidden="1" outlineLevel="2" x14ac:dyDescent="0.3">
      <c r="A295" s="1130"/>
      <c r="B295" s="1138" t="s">
        <v>1454</v>
      </c>
      <c r="C295" s="1139" t="s">
        <v>1453</v>
      </c>
      <c r="D295" s="1140" t="s">
        <v>1455</v>
      </c>
      <c r="E295" s="1134">
        <f t="shared" si="30"/>
        <v>923</v>
      </c>
      <c r="F295" s="1141">
        <v>399.2</v>
      </c>
      <c r="G295" s="1141"/>
      <c r="H295" s="1141"/>
      <c r="I295" s="1141"/>
      <c r="J295" s="1141"/>
      <c r="K295" s="1135">
        <f t="shared" si="31"/>
        <v>36</v>
      </c>
      <c r="L295" s="1141"/>
      <c r="M295" s="1141"/>
      <c r="N295" s="1141"/>
      <c r="O295" s="1141"/>
      <c r="P295" s="1141"/>
      <c r="Q295" s="1141"/>
      <c r="R295" s="1141"/>
      <c r="S295" s="1141"/>
      <c r="T295" s="1141"/>
      <c r="U295" s="1135">
        <f t="shared" si="28"/>
        <v>800</v>
      </c>
      <c r="V295" s="1141"/>
      <c r="W295" s="1141"/>
      <c r="X295" s="1141"/>
      <c r="Y295" s="1141"/>
      <c r="Z295" s="1141"/>
      <c r="AA295" s="1141"/>
      <c r="AB295" s="1141"/>
      <c r="AC295" s="1141"/>
      <c r="AD295" s="1141"/>
      <c r="AE295" s="1135">
        <f t="shared" si="32"/>
        <v>55.5</v>
      </c>
      <c r="AF295" s="1141"/>
      <c r="AG295" s="1135">
        <f t="shared" si="33"/>
        <v>26.8</v>
      </c>
      <c r="AH295" s="1141"/>
      <c r="AI295" s="1141"/>
      <c r="AJ295" s="1142"/>
      <c r="AK295" s="1137">
        <f t="shared" si="29"/>
        <v>4.7000000000000455</v>
      </c>
      <c r="AL295" s="1137">
        <f t="shared" si="29"/>
        <v>399.2</v>
      </c>
    </row>
    <row r="296" spans="1:38" hidden="1" outlineLevel="2" x14ac:dyDescent="0.3">
      <c r="A296" s="1130"/>
      <c r="B296" s="1138" t="s">
        <v>1456</v>
      </c>
      <c r="C296" s="1139" t="s">
        <v>1457</v>
      </c>
      <c r="D296" s="1140" t="s">
        <v>1436</v>
      </c>
      <c r="E296" s="1134">
        <f t="shared" si="30"/>
        <v>923</v>
      </c>
      <c r="F296" s="1141">
        <v>698.6</v>
      </c>
      <c r="G296" s="1141"/>
      <c r="H296" s="1141"/>
      <c r="I296" s="1141"/>
      <c r="J296" s="1141"/>
      <c r="K296" s="1135">
        <f t="shared" si="31"/>
        <v>36</v>
      </c>
      <c r="L296" s="1141"/>
      <c r="M296" s="1141"/>
      <c r="N296" s="1141"/>
      <c r="O296" s="1141"/>
      <c r="P296" s="1141"/>
      <c r="Q296" s="1141"/>
      <c r="R296" s="1141"/>
      <c r="S296" s="1141"/>
      <c r="T296" s="1141"/>
      <c r="U296" s="1135">
        <f t="shared" si="28"/>
        <v>800</v>
      </c>
      <c r="V296" s="1141"/>
      <c r="W296" s="1141"/>
      <c r="X296" s="1141"/>
      <c r="Y296" s="1141"/>
      <c r="Z296" s="1141"/>
      <c r="AA296" s="1141"/>
      <c r="AB296" s="1141"/>
      <c r="AC296" s="1141"/>
      <c r="AD296" s="1141"/>
      <c r="AE296" s="1135">
        <f t="shared" si="32"/>
        <v>55.5</v>
      </c>
      <c r="AF296" s="1141"/>
      <c r="AG296" s="1135">
        <f t="shared" si="33"/>
        <v>26.8</v>
      </c>
      <c r="AH296" s="1141"/>
      <c r="AI296" s="1141"/>
      <c r="AJ296" s="1142"/>
      <c r="AK296" s="1137">
        <f t="shared" si="29"/>
        <v>4.7000000000000455</v>
      </c>
      <c r="AL296" s="1137">
        <f t="shared" si="29"/>
        <v>698.6</v>
      </c>
    </row>
    <row r="297" spans="1:38" ht="27.6" hidden="1" outlineLevel="2" x14ac:dyDescent="0.3">
      <c r="A297" s="1130"/>
      <c r="B297" s="1138" t="s">
        <v>1458</v>
      </c>
      <c r="C297" s="1139" t="s">
        <v>1457</v>
      </c>
      <c r="D297" s="1140" t="s">
        <v>1442</v>
      </c>
      <c r="E297" s="1134">
        <f t="shared" si="30"/>
        <v>923</v>
      </c>
      <c r="F297" s="1141">
        <v>99.8</v>
      </c>
      <c r="G297" s="1141"/>
      <c r="H297" s="1141"/>
      <c r="I297" s="1141"/>
      <c r="J297" s="1141"/>
      <c r="K297" s="1135">
        <f t="shared" si="31"/>
        <v>36</v>
      </c>
      <c r="L297" s="1141"/>
      <c r="M297" s="1141"/>
      <c r="N297" s="1141"/>
      <c r="O297" s="1141"/>
      <c r="P297" s="1141"/>
      <c r="Q297" s="1141"/>
      <c r="R297" s="1141"/>
      <c r="S297" s="1141"/>
      <c r="T297" s="1141"/>
      <c r="U297" s="1135">
        <f t="shared" si="28"/>
        <v>800</v>
      </c>
      <c r="V297" s="1141"/>
      <c r="W297" s="1141"/>
      <c r="X297" s="1141"/>
      <c r="Y297" s="1141"/>
      <c r="Z297" s="1141"/>
      <c r="AA297" s="1141"/>
      <c r="AB297" s="1141"/>
      <c r="AC297" s="1141"/>
      <c r="AD297" s="1141"/>
      <c r="AE297" s="1135">
        <f t="shared" si="32"/>
        <v>55.5</v>
      </c>
      <c r="AF297" s="1141"/>
      <c r="AG297" s="1135">
        <f t="shared" si="33"/>
        <v>26.8</v>
      </c>
      <c r="AH297" s="1141"/>
      <c r="AI297" s="1141"/>
      <c r="AJ297" s="1142"/>
      <c r="AK297" s="1137">
        <f t="shared" si="29"/>
        <v>4.7000000000000455</v>
      </c>
      <c r="AL297" s="1137">
        <f t="shared" si="29"/>
        <v>99.8</v>
      </c>
    </row>
    <row r="298" spans="1:38" hidden="1" outlineLevel="2" x14ac:dyDescent="0.3">
      <c r="A298" s="1130"/>
      <c r="B298" s="1138" t="s">
        <v>1459</v>
      </c>
      <c r="C298" s="1139" t="s">
        <v>1457</v>
      </c>
      <c r="D298" s="1140" t="s">
        <v>1413</v>
      </c>
      <c r="E298" s="1134">
        <f t="shared" si="30"/>
        <v>923</v>
      </c>
      <c r="F298" s="1141">
        <v>99.8</v>
      </c>
      <c r="G298" s="1141"/>
      <c r="H298" s="1141"/>
      <c r="I298" s="1141"/>
      <c r="J298" s="1141"/>
      <c r="K298" s="1135">
        <f t="shared" si="31"/>
        <v>36</v>
      </c>
      <c r="L298" s="1141"/>
      <c r="M298" s="1141"/>
      <c r="N298" s="1141"/>
      <c r="O298" s="1141"/>
      <c r="P298" s="1141"/>
      <c r="Q298" s="1141"/>
      <c r="R298" s="1141"/>
      <c r="S298" s="1141"/>
      <c r="T298" s="1141"/>
      <c r="U298" s="1135">
        <f t="shared" si="28"/>
        <v>800</v>
      </c>
      <c r="V298" s="1141"/>
      <c r="W298" s="1141"/>
      <c r="X298" s="1141"/>
      <c r="Y298" s="1141"/>
      <c r="Z298" s="1141"/>
      <c r="AA298" s="1141"/>
      <c r="AB298" s="1141"/>
      <c r="AC298" s="1141"/>
      <c r="AD298" s="1141"/>
      <c r="AE298" s="1135">
        <f t="shared" si="32"/>
        <v>55.5</v>
      </c>
      <c r="AF298" s="1141"/>
      <c r="AG298" s="1135">
        <f t="shared" si="33"/>
        <v>26.8</v>
      </c>
      <c r="AH298" s="1141"/>
      <c r="AI298" s="1141"/>
      <c r="AJ298" s="1142"/>
      <c r="AK298" s="1137">
        <f t="shared" si="29"/>
        <v>4.7000000000000455</v>
      </c>
      <c r="AL298" s="1137">
        <f t="shared" si="29"/>
        <v>99.8</v>
      </c>
    </row>
    <row r="299" spans="1:38" hidden="1" outlineLevel="2" x14ac:dyDescent="0.3">
      <c r="A299" s="1130"/>
      <c r="B299" s="1138"/>
      <c r="C299" s="1139"/>
      <c r="D299" s="1140"/>
      <c r="E299" s="1134">
        <f t="shared" si="30"/>
        <v>923</v>
      </c>
      <c r="F299" s="1141"/>
      <c r="G299" s="1141"/>
      <c r="H299" s="1141"/>
      <c r="I299" s="1141"/>
      <c r="J299" s="1141"/>
      <c r="K299" s="1135">
        <f t="shared" si="31"/>
        <v>36</v>
      </c>
      <c r="L299" s="1141"/>
      <c r="M299" s="1141"/>
      <c r="N299" s="1141"/>
      <c r="O299" s="1141"/>
      <c r="P299" s="1141"/>
      <c r="Q299" s="1141"/>
      <c r="R299" s="1141"/>
      <c r="S299" s="1141"/>
      <c r="T299" s="1141"/>
      <c r="U299" s="1135">
        <f t="shared" si="28"/>
        <v>800</v>
      </c>
      <c r="V299" s="1141"/>
      <c r="W299" s="1141"/>
      <c r="X299" s="1141"/>
      <c r="Y299" s="1141"/>
      <c r="Z299" s="1141"/>
      <c r="AA299" s="1141"/>
      <c r="AB299" s="1141"/>
      <c r="AC299" s="1141"/>
      <c r="AD299" s="1141"/>
      <c r="AE299" s="1135">
        <f t="shared" si="32"/>
        <v>55.5</v>
      </c>
      <c r="AF299" s="1141"/>
      <c r="AG299" s="1135">
        <f t="shared" si="33"/>
        <v>26.8</v>
      </c>
      <c r="AH299" s="1141"/>
      <c r="AI299" s="1141"/>
      <c r="AJ299" s="1142"/>
      <c r="AK299" s="1137">
        <f t="shared" si="29"/>
        <v>4.7000000000000455</v>
      </c>
      <c r="AL299" s="1137">
        <f t="shared" si="29"/>
        <v>0</v>
      </c>
    </row>
    <row r="300" spans="1:38" hidden="1" outlineLevel="2" x14ac:dyDescent="0.3">
      <c r="A300" s="1130"/>
      <c r="B300" s="1138"/>
      <c r="C300" s="1139"/>
      <c r="D300" s="1140"/>
      <c r="E300" s="1134">
        <f t="shared" si="30"/>
        <v>923</v>
      </c>
      <c r="F300" s="1141"/>
      <c r="G300" s="1141"/>
      <c r="H300" s="1141"/>
      <c r="I300" s="1141"/>
      <c r="J300" s="1141"/>
      <c r="K300" s="1135">
        <f t="shared" si="31"/>
        <v>36</v>
      </c>
      <c r="L300" s="1141"/>
      <c r="M300" s="1141"/>
      <c r="N300" s="1141"/>
      <c r="O300" s="1141"/>
      <c r="P300" s="1141"/>
      <c r="Q300" s="1141"/>
      <c r="R300" s="1141"/>
      <c r="S300" s="1141"/>
      <c r="T300" s="1141"/>
      <c r="U300" s="1135">
        <f t="shared" si="28"/>
        <v>800</v>
      </c>
      <c r="V300" s="1141"/>
      <c r="W300" s="1141"/>
      <c r="X300" s="1141"/>
      <c r="Y300" s="1141"/>
      <c r="Z300" s="1141"/>
      <c r="AA300" s="1141"/>
      <c r="AB300" s="1141"/>
      <c r="AC300" s="1141"/>
      <c r="AD300" s="1141"/>
      <c r="AE300" s="1135">
        <f t="shared" si="32"/>
        <v>55.5</v>
      </c>
      <c r="AF300" s="1141"/>
      <c r="AG300" s="1135">
        <f t="shared" si="33"/>
        <v>26.8</v>
      </c>
      <c r="AH300" s="1141"/>
      <c r="AI300" s="1141"/>
      <c r="AJ300" s="1142"/>
      <c r="AK300" s="1137">
        <f t="shared" si="29"/>
        <v>4.7000000000000455</v>
      </c>
      <c r="AL300" s="1137">
        <f t="shared" si="29"/>
        <v>0</v>
      </c>
    </row>
    <row r="301" spans="1:38" hidden="1" outlineLevel="2" x14ac:dyDescent="0.3">
      <c r="A301" s="1130"/>
      <c r="B301" s="1138"/>
      <c r="C301" s="1139"/>
      <c r="D301" s="1140"/>
      <c r="E301" s="1134">
        <f t="shared" si="30"/>
        <v>923</v>
      </c>
      <c r="F301" s="1141"/>
      <c r="G301" s="1141"/>
      <c r="H301" s="1141"/>
      <c r="I301" s="1141"/>
      <c r="J301" s="1141"/>
      <c r="K301" s="1135">
        <f t="shared" si="31"/>
        <v>36</v>
      </c>
      <c r="L301" s="1141"/>
      <c r="M301" s="1141"/>
      <c r="N301" s="1141"/>
      <c r="O301" s="1141"/>
      <c r="P301" s="1141"/>
      <c r="Q301" s="1141"/>
      <c r="R301" s="1141"/>
      <c r="S301" s="1141"/>
      <c r="T301" s="1141"/>
      <c r="U301" s="1135">
        <f t="shared" si="28"/>
        <v>800</v>
      </c>
      <c r="V301" s="1141"/>
      <c r="W301" s="1141"/>
      <c r="X301" s="1141"/>
      <c r="Y301" s="1141"/>
      <c r="Z301" s="1141"/>
      <c r="AA301" s="1141"/>
      <c r="AB301" s="1141"/>
      <c r="AC301" s="1141"/>
      <c r="AD301" s="1141"/>
      <c r="AE301" s="1135">
        <f t="shared" si="32"/>
        <v>55.5</v>
      </c>
      <c r="AF301" s="1141"/>
      <c r="AG301" s="1135">
        <f t="shared" si="33"/>
        <v>26.8</v>
      </c>
      <c r="AH301" s="1141"/>
      <c r="AI301" s="1141"/>
      <c r="AJ301" s="1142"/>
      <c r="AK301" s="1137">
        <f t="shared" si="29"/>
        <v>4.7000000000000455</v>
      </c>
      <c r="AL301" s="1137">
        <f t="shared" si="29"/>
        <v>0</v>
      </c>
    </row>
    <row r="302" spans="1:38" hidden="1" outlineLevel="2" x14ac:dyDescent="0.3">
      <c r="A302" s="1130"/>
      <c r="B302" s="1138"/>
      <c r="C302" s="1139"/>
      <c r="D302" s="1140"/>
      <c r="E302" s="1134">
        <f t="shared" si="30"/>
        <v>923</v>
      </c>
      <c r="F302" s="1141"/>
      <c r="G302" s="1141"/>
      <c r="H302" s="1141"/>
      <c r="I302" s="1141"/>
      <c r="J302" s="1141"/>
      <c r="K302" s="1135">
        <f t="shared" si="31"/>
        <v>36</v>
      </c>
      <c r="L302" s="1141"/>
      <c r="M302" s="1141"/>
      <c r="N302" s="1141"/>
      <c r="O302" s="1141"/>
      <c r="P302" s="1141"/>
      <c r="Q302" s="1141"/>
      <c r="R302" s="1141"/>
      <c r="S302" s="1141"/>
      <c r="T302" s="1141"/>
      <c r="U302" s="1135">
        <f t="shared" si="28"/>
        <v>800</v>
      </c>
      <c r="V302" s="1141"/>
      <c r="W302" s="1141"/>
      <c r="X302" s="1141"/>
      <c r="Y302" s="1141"/>
      <c r="Z302" s="1141"/>
      <c r="AA302" s="1141"/>
      <c r="AB302" s="1141"/>
      <c r="AC302" s="1141"/>
      <c r="AD302" s="1141"/>
      <c r="AE302" s="1135">
        <f t="shared" si="32"/>
        <v>55.5</v>
      </c>
      <c r="AF302" s="1141"/>
      <c r="AG302" s="1135">
        <f t="shared" si="33"/>
        <v>26.8</v>
      </c>
      <c r="AH302" s="1141"/>
      <c r="AI302" s="1141"/>
      <c r="AJ302" s="1142"/>
      <c r="AK302" s="1137">
        <f t="shared" si="29"/>
        <v>4.7000000000000455</v>
      </c>
      <c r="AL302" s="1137">
        <f t="shared" si="29"/>
        <v>0</v>
      </c>
    </row>
    <row r="303" spans="1:38" hidden="1" outlineLevel="2" x14ac:dyDescent="0.3">
      <c r="A303" s="1130"/>
      <c r="B303" s="1138"/>
      <c r="C303" s="1139"/>
      <c r="D303" s="1140"/>
      <c r="E303" s="1134">
        <f t="shared" si="30"/>
        <v>923</v>
      </c>
      <c r="F303" s="1141"/>
      <c r="G303" s="1141"/>
      <c r="H303" s="1141"/>
      <c r="I303" s="1141"/>
      <c r="J303" s="1141"/>
      <c r="K303" s="1135">
        <f t="shared" si="31"/>
        <v>36</v>
      </c>
      <c r="L303" s="1141"/>
      <c r="M303" s="1141"/>
      <c r="N303" s="1141"/>
      <c r="O303" s="1141"/>
      <c r="P303" s="1141"/>
      <c r="Q303" s="1141"/>
      <c r="R303" s="1141"/>
      <c r="S303" s="1141"/>
      <c r="T303" s="1141"/>
      <c r="U303" s="1135">
        <f t="shared" si="28"/>
        <v>800</v>
      </c>
      <c r="V303" s="1141"/>
      <c r="W303" s="1141"/>
      <c r="X303" s="1141"/>
      <c r="Y303" s="1141"/>
      <c r="Z303" s="1141"/>
      <c r="AA303" s="1141"/>
      <c r="AB303" s="1141"/>
      <c r="AC303" s="1141"/>
      <c r="AD303" s="1141"/>
      <c r="AE303" s="1135">
        <f t="shared" si="32"/>
        <v>55.5</v>
      </c>
      <c r="AF303" s="1141"/>
      <c r="AG303" s="1135">
        <f t="shared" si="33"/>
        <v>26.8</v>
      </c>
      <c r="AH303" s="1141"/>
      <c r="AI303" s="1141"/>
      <c r="AJ303" s="1142"/>
      <c r="AK303" s="1137">
        <f t="shared" si="29"/>
        <v>4.7000000000000455</v>
      </c>
      <c r="AL303" s="1137">
        <f t="shared" si="29"/>
        <v>0</v>
      </c>
    </row>
    <row r="304" spans="1:38" hidden="1" outlineLevel="2" x14ac:dyDescent="0.3">
      <c r="A304" s="1130"/>
      <c r="B304" s="1138"/>
      <c r="C304" s="1139"/>
      <c r="D304" s="1140"/>
      <c r="E304" s="1134">
        <f t="shared" si="30"/>
        <v>923</v>
      </c>
      <c r="F304" s="1141"/>
      <c r="G304" s="1141"/>
      <c r="H304" s="1141"/>
      <c r="I304" s="1141"/>
      <c r="J304" s="1141"/>
      <c r="K304" s="1135">
        <f t="shared" si="31"/>
        <v>36</v>
      </c>
      <c r="L304" s="1141"/>
      <c r="M304" s="1141"/>
      <c r="N304" s="1141"/>
      <c r="O304" s="1141"/>
      <c r="P304" s="1141"/>
      <c r="Q304" s="1141"/>
      <c r="R304" s="1141"/>
      <c r="S304" s="1141"/>
      <c r="T304" s="1141"/>
      <c r="U304" s="1135">
        <f t="shared" si="28"/>
        <v>800</v>
      </c>
      <c r="V304" s="1141"/>
      <c r="W304" s="1141"/>
      <c r="X304" s="1141"/>
      <c r="Y304" s="1141"/>
      <c r="Z304" s="1141"/>
      <c r="AA304" s="1141"/>
      <c r="AB304" s="1141"/>
      <c r="AC304" s="1141"/>
      <c r="AD304" s="1141"/>
      <c r="AE304" s="1135">
        <f t="shared" si="32"/>
        <v>55.5</v>
      </c>
      <c r="AF304" s="1141"/>
      <c r="AG304" s="1135">
        <f t="shared" si="33"/>
        <v>26.8</v>
      </c>
      <c r="AH304" s="1141"/>
      <c r="AI304" s="1141"/>
      <c r="AJ304" s="1142"/>
      <c r="AK304" s="1137">
        <f t="shared" si="29"/>
        <v>4.7000000000000455</v>
      </c>
      <c r="AL304" s="1137">
        <f t="shared" si="29"/>
        <v>0</v>
      </c>
    </row>
    <row r="305" spans="1:38" hidden="1" outlineLevel="2" x14ac:dyDescent="0.3">
      <c r="A305" s="1130"/>
      <c r="B305" s="1138"/>
      <c r="C305" s="1139"/>
      <c r="D305" s="1140"/>
      <c r="E305" s="1134">
        <f t="shared" si="30"/>
        <v>923</v>
      </c>
      <c r="F305" s="1141"/>
      <c r="G305" s="1141"/>
      <c r="H305" s="1141"/>
      <c r="I305" s="1141"/>
      <c r="J305" s="1141"/>
      <c r="K305" s="1135">
        <f t="shared" si="31"/>
        <v>36</v>
      </c>
      <c r="L305" s="1141"/>
      <c r="M305" s="1141"/>
      <c r="N305" s="1141"/>
      <c r="O305" s="1141"/>
      <c r="P305" s="1141"/>
      <c r="Q305" s="1141"/>
      <c r="R305" s="1141"/>
      <c r="S305" s="1141"/>
      <c r="T305" s="1141"/>
      <c r="U305" s="1135">
        <f t="shared" si="28"/>
        <v>800</v>
      </c>
      <c r="V305" s="1141"/>
      <c r="W305" s="1141"/>
      <c r="X305" s="1141"/>
      <c r="Y305" s="1141"/>
      <c r="Z305" s="1141"/>
      <c r="AA305" s="1141"/>
      <c r="AB305" s="1141"/>
      <c r="AC305" s="1141"/>
      <c r="AD305" s="1141"/>
      <c r="AE305" s="1135">
        <f t="shared" si="32"/>
        <v>55.5</v>
      </c>
      <c r="AF305" s="1141"/>
      <c r="AG305" s="1135">
        <f t="shared" si="33"/>
        <v>26.8</v>
      </c>
      <c r="AH305" s="1141"/>
      <c r="AI305" s="1141"/>
      <c r="AJ305" s="1142"/>
      <c r="AK305" s="1137">
        <f t="shared" si="29"/>
        <v>4.7000000000000455</v>
      </c>
      <c r="AL305" s="1137">
        <f t="shared" si="29"/>
        <v>0</v>
      </c>
    </row>
    <row r="306" spans="1:38" hidden="1" outlineLevel="2" x14ac:dyDescent="0.3">
      <c r="A306" s="1130"/>
      <c r="B306" s="1138"/>
      <c r="C306" s="1139"/>
      <c r="D306" s="1140"/>
      <c r="E306" s="1134">
        <f t="shared" si="30"/>
        <v>923</v>
      </c>
      <c r="F306" s="1141"/>
      <c r="G306" s="1141"/>
      <c r="H306" s="1141"/>
      <c r="I306" s="1141"/>
      <c r="J306" s="1141"/>
      <c r="K306" s="1135">
        <f t="shared" si="31"/>
        <v>36</v>
      </c>
      <c r="L306" s="1141"/>
      <c r="M306" s="1141"/>
      <c r="N306" s="1141"/>
      <c r="O306" s="1141"/>
      <c r="P306" s="1141"/>
      <c r="Q306" s="1141"/>
      <c r="R306" s="1141"/>
      <c r="S306" s="1141"/>
      <c r="T306" s="1141"/>
      <c r="U306" s="1135">
        <f t="shared" si="28"/>
        <v>800</v>
      </c>
      <c r="V306" s="1141"/>
      <c r="W306" s="1141"/>
      <c r="X306" s="1141"/>
      <c r="Y306" s="1141"/>
      <c r="Z306" s="1141"/>
      <c r="AA306" s="1141"/>
      <c r="AB306" s="1141"/>
      <c r="AC306" s="1141"/>
      <c r="AD306" s="1141"/>
      <c r="AE306" s="1135">
        <f t="shared" si="32"/>
        <v>55.5</v>
      </c>
      <c r="AF306" s="1141"/>
      <c r="AG306" s="1135">
        <f t="shared" si="33"/>
        <v>26.8</v>
      </c>
      <c r="AH306" s="1141"/>
      <c r="AI306" s="1141"/>
      <c r="AJ306" s="1142"/>
      <c r="AK306" s="1137">
        <f t="shared" si="29"/>
        <v>4.7000000000000455</v>
      </c>
      <c r="AL306" s="1137">
        <f t="shared" si="29"/>
        <v>0</v>
      </c>
    </row>
    <row r="307" spans="1:38" hidden="1" outlineLevel="2" x14ac:dyDescent="0.3">
      <c r="A307" s="1130"/>
      <c r="B307" s="1138"/>
      <c r="C307" s="1139"/>
      <c r="D307" s="1140"/>
      <c r="E307" s="1134">
        <f t="shared" si="30"/>
        <v>923</v>
      </c>
      <c r="F307" s="1141"/>
      <c r="G307" s="1141"/>
      <c r="H307" s="1141"/>
      <c r="I307" s="1141"/>
      <c r="J307" s="1141"/>
      <c r="K307" s="1135">
        <f t="shared" si="31"/>
        <v>36</v>
      </c>
      <c r="L307" s="1141"/>
      <c r="M307" s="1141"/>
      <c r="N307" s="1141"/>
      <c r="O307" s="1141"/>
      <c r="P307" s="1141"/>
      <c r="Q307" s="1141"/>
      <c r="R307" s="1141"/>
      <c r="S307" s="1141"/>
      <c r="T307" s="1141"/>
      <c r="U307" s="1135">
        <f t="shared" si="28"/>
        <v>800</v>
      </c>
      <c r="V307" s="1141"/>
      <c r="W307" s="1141"/>
      <c r="X307" s="1141"/>
      <c r="Y307" s="1141"/>
      <c r="Z307" s="1141"/>
      <c r="AA307" s="1141"/>
      <c r="AB307" s="1141"/>
      <c r="AC307" s="1141"/>
      <c r="AD307" s="1141"/>
      <c r="AE307" s="1135">
        <f t="shared" si="32"/>
        <v>55.5</v>
      </c>
      <c r="AF307" s="1141"/>
      <c r="AG307" s="1135">
        <f t="shared" si="33"/>
        <v>26.8</v>
      </c>
      <c r="AH307" s="1141"/>
      <c r="AI307" s="1141"/>
      <c r="AJ307" s="1142"/>
      <c r="AK307" s="1137">
        <f t="shared" ref="AK307:AL324" si="34">SUM(E307,G307,I307)-SUM(K307,M307,O307,Q307,S307,U307,W307,Y307,AA307,AC307,AE307,AG307,AI307)</f>
        <v>4.7000000000000455</v>
      </c>
      <c r="AL307" s="1137">
        <f t="shared" si="34"/>
        <v>0</v>
      </c>
    </row>
    <row r="308" spans="1:38" hidden="1" outlineLevel="2" x14ac:dyDescent="0.3">
      <c r="A308" s="1130"/>
      <c r="B308" s="1138"/>
      <c r="C308" s="1139"/>
      <c r="D308" s="1140"/>
      <c r="E308" s="1134">
        <f t="shared" si="30"/>
        <v>923</v>
      </c>
      <c r="F308" s="1141"/>
      <c r="G308" s="1141"/>
      <c r="H308" s="1141"/>
      <c r="I308" s="1141"/>
      <c r="J308" s="1141"/>
      <c r="K308" s="1135">
        <f t="shared" si="31"/>
        <v>36</v>
      </c>
      <c r="L308" s="1141"/>
      <c r="M308" s="1141"/>
      <c r="N308" s="1141"/>
      <c r="O308" s="1141"/>
      <c r="P308" s="1141"/>
      <c r="Q308" s="1141"/>
      <c r="R308" s="1141"/>
      <c r="S308" s="1141"/>
      <c r="T308" s="1141"/>
      <c r="U308" s="1135">
        <f t="shared" si="28"/>
        <v>800</v>
      </c>
      <c r="V308" s="1141"/>
      <c r="W308" s="1141"/>
      <c r="X308" s="1141"/>
      <c r="Y308" s="1141"/>
      <c r="Z308" s="1141"/>
      <c r="AA308" s="1141"/>
      <c r="AB308" s="1141"/>
      <c r="AC308" s="1141"/>
      <c r="AD308" s="1141"/>
      <c r="AE308" s="1135">
        <f t="shared" si="32"/>
        <v>55.5</v>
      </c>
      <c r="AF308" s="1141"/>
      <c r="AG308" s="1135">
        <f t="shared" si="33"/>
        <v>26.8</v>
      </c>
      <c r="AH308" s="1141"/>
      <c r="AI308" s="1141"/>
      <c r="AJ308" s="1142"/>
      <c r="AK308" s="1137">
        <f t="shared" si="34"/>
        <v>4.7000000000000455</v>
      </c>
      <c r="AL308" s="1137">
        <f t="shared" si="34"/>
        <v>0</v>
      </c>
    </row>
    <row r="309" spans="1:38" hidden="1" outlineLevel="2" x14ac:dyDescent="0.3">
      <c r="A309" s="1130"/>
      <c r="B309" s="1138"/>
      <c r="C309" s="1139"/>
      <c r="D309" s="1140"/>
      <c r="E309" s="1134">
        <f t="shared" si="30"/>
        <v>923</v>
      </c>
      <c r="F309" s="1141"/>
      <c r="G309" s="1141"/>
      <c r="H309" s="1141"/>
      <c r="I309" s="1141"/>
      <c r="J309" s="1141"/>
      <c r="K309" s="1135">
        <f t="shared" si="31"/>
        <v>36</v>
      </c>
      <c r="L309" s="1141"/>
      <c r="M309" s="1141"/>
      <c r="N309" s="1141"/>
      <c r="O309" s="1141"/>
      <c r="P309" s="1141"/>
      <c r="Q309" s="1141"/>
      <c r="R309" s="1141"/>
      <c r="S309" s="1141"/>
      <c r="T309" s="1141"/>
      <c r="U309" s="1135">
        <f t="shared" si="28"/>
        <v>800</v>
      </c>
      <c r="V309" s="1141"/>
      <c r="W309" s="1141"/>
      <c r="X309" s="1141"/>
      <c r="Y309" s="1141"/>
      <c r="Z309" s="1141"/>
      <c r="AA309" s="1141"/>
      <c r="AB309" s="1141"/>
      <c r="AC309" s="1141"/>
      <c r="AD309" s="1141"/>
      <c r="AE309" s="1135">
        <f t="shared" si="32"/>
        <v>55.5</v>
      </c>
      <c r="AF309" s="1141"/>
      <c r="AG309" s="1135">
        <f t="shared" si="33"/>
        <v>26.8</v>
      </c>
      <c r="AH309" s="1141"/>
      <c r="AI309" s="1141"/>
      <c r="AJ309" s="1142"/>
      <c r="AK309" s="1137">
        <f t="shared" si="34"/>
        <v>4.7000000000000455</v>
      </c>
      <c r="AL309" s="1137">
        <f t="shared" si="34"/>
        <v>0</v>
      </c>
    </row>
    <row r="310" spans="1:38" hidden="1" outlineLevel="2" x14ac:dyDescent="0.3">
      <c r="A310" s="1130"/>
      <c r="B310" s="1138"/>
      <c r="C310" s="1139"/>
      <c r="D310" s="1140"/>
      <c r="E310" s="1134">
        <f t="shared" si="30"/>
        <v>923</v>
      </c>
      <c r="F310" s="1141"/>
      <c r="G310" s="1141"/>
      <c r="H310" s="1141"/>
      <c r="I310" s="1141"/>
      <c r="J310" s="1141"/>
      <c r="K310" s="1135">
        <f t="shared" si="31"/>
        <v>36</v>
      </c>
      <c r="L310" s="1141"/>
      <c r="M310" s="1141"/>
      <c r="N310" s="1141"/>
      <c r="O310" s="1141"/>
      <c r="P310" s="1141"/>
      <c r="Q310" s="1141"/>
      <c r="R310" s="1141"/>
      <c r="S310" s="1141"/>
      <c r="T310" s="1141"/>
      <c r="U310" s="1135">
        <f t="shared" si="28"/>
        <v>800</v>
      </c>
      <c r="V310" s="1141"/>
      <c r="W310" s="1141"/>
      <c r="X310" s="1141"/>
      <c r="Y310" s="1141"/>
      <c r="Z310" s="1141"/>
      <c r="AA310" s="1141"/>
      <c r="AB310" s="1141"/>
      <c r="AC310" s="1141"/>
      <c r="AD310" s="1141"/>
      <c r="AE310" s="1135">
        <f t="shared" si="32"/>
        <v>55.5</v>
      </c>
      <c r="AF310" s="1141"/>
      <c r="AG310" s="1135">
        <f t="shared" si="33"/>
        <v>26.8</v>
      </c>
      <c r="AH310" s="1141"/>
      <c r="AI310" s="1141"/>
      <c r="AJ310" s="1142"/>
      <c r="AK310" s="1137">
        <f t="shared" si="34"/>
        <v>4.7000000000000455</v>
      </c>
      <c r="AL310" s="1137">
        <f t="shared" si="34"/>
        <v>0</v>
      </c>
    </row>
    <row r="311" spans="1:38" hidden="1" outlineLevel="2" x14ac:dyDescent="0.3">
      <c r="A311" s="1130"/>
      <c r="B311" s="1138"/>
      <c r="C311" s="1139"/>
      <c r="D311" s="1140"/>
      <c r="E311" s="1134">
        <f t="shared" si="30"/>
        <v>923</v>
      </c>
      <c r="F311" s="1141"/>
      <c r="G311" s="1141"/>
      <c r="H311" s="1141"/>
      <c r="I311" s="1141"/>
      <c r="J311" s="1141"/>
      <c r="K311" s="1135">
        <f t="shared" si="31"/>
        <v>36</v>
      </c>
      <c r="L311" s="1141"/>
      <c r="M311" s="1141"/>
      <c r="N311" s="1141"/>
      <c r="O311" s="1141"/>
      <c r="P311" s="1141"/>
      <c r="Q311" s="1141"/>
      <c r="R311" s="1141"/>
      <c r="S311" s="1141"/>
      <c r="T311" s="1141"/>
      <c r="U311" s="1135">
        <f t="shared" si="28"/>
        <v>800</v>
      </c>
      <c r="V311" s="1141"/>
      <c r="W311" s="1141"/>
      <c r="X311" s="1141"/>
      <c r="Y311" s="1141"/>
      <c r="Z311" s="1141"/>
      <c r="AA311" s="1141"/>
      <c r="AB311" s="1141"/>
      <c r="AC311" s="1141"/>
      <c r="AD311" s="1141"/>
      <c r="AE311" s="1135">
        <f t="shared" si="32"/>
        <v>55.5</v>
      </c>
      <c r="AF311" s="1141"/>
      <c r="AG311" s="1135">
        <f t="shared" si="33"/>
        <v>26.8</v>
      </c>
      <c r="AH311" s="1141"/>
      <c r="AI311" s="1141"/>
      <c r="AJ311" s="1142"/>
      <c r="AK311" s="1137">
        <f t="shared" si="34"/>
        <v>4.7000000000000455</v>
      </c>
      <c r="AL311" s="1137">
        <f t="shared" si="34"/>
        <v>0</v>
      </c>
    </row>
    <row r="312" spans="1:38" hidden="1" outlineLevel="2" x14ac:dyDescent="0.3">
      <c r="A312" s="1130"/>
      <c r="B312" s="1138"/>
      <c r="C312" s="1139"/>
      <c r="D312" s="1140"/>
      <c r="E312" s="1134">
        <f t="shared" si="30"/>
        <v>923</v>
      </c>
      <c r="F312" s="1141"/>
      <c r="G312" s="1141"/>
      <c r="H312" s="1141"/>
      <c r="I312" s="1141"/>
      <c r="J312" s="1141"/>
      <c r="K312" s="1135">
        <f t="shared" si="31"/>
        <v>36</v>
      </c>
      <c r="L312" s="1141"/>
      <c r="M312" s="1141"/>
      <c r="N312" s="1141"/>
      <c r="O312" s="1141"/>
      <c r="P312" s="1141"/>
      <c r="Q312" s="1141"/>
      <c r="R312" s="1141"/>
      <c r="S312" s="1141"/>
      <c r="T312" s="1141"/>
      <c r="U312" s="1135">
        <f t="shared" si="28"/>
        <v>800</v>
      </c>
      <c r="V312" s="1141"/>
      <c r="W312" s="1141"/>
      <c r="X312" s="1141"/>
      <c r="Y312" s="1141"/>
      <c r="Z312" s="1141"/>
      <c r="AA312" s="1141"/>
      <c r="AB312" s="1141"/>
      <c r="AC312" s="1141"/>
      <c r="AD312" s="1141"/>
      <c r="AE312" s="1135">
        <f t="shared" si="32"/>
        <v>55.5</v>
      </c>
      <c r="AF312" s="1141"/>
      <c r="AG312" s="1135">
        <f t="shared" si="33"/>
        <v>26.8</v>
      </c>
      <c r="AH312" s="1141"/>
      <c r="AI312" s="1141"/>
      <c r="AJ312" s="1142"/>
      <c r="AK312" s="1137">
        <f t="shared" si="34"/>
        <v>4.7000000000000455</v>
      </c>
      <c r="AL312" s="1137">
        <f t="shared" si="34"/>
        <v>0</v>
      </c>
    </row>
    <row r="313" spans="1:38" hidden="1" outlineLevel="2" x14ac:dyDescent="0.3">
      <c r="A313" s="1130"/>
      <c r="B313" s="1138"/>
      <c r="C313" s="1139"/>
      <c r="D313" s="1140"/>
      <c r="E313" s="1134">
        <f t="shared" si="30"/>
        <v>923</v>
      </c>
      <c r="F313" s="1141"/>
      <c r="G313" s="1141"/>
      <c r="H313" s="1141"/>
      <c r="I313" s="1141"/>
      <c r="J313" s="1141"/>
      <c r="K313" s="1135">
        <f t="shared" si="31"/>
        <v>36</v>
      </c>
      <c r="L313" s="1141"/>
      <c r="M313" s="1141"/>
      <c r="N313" s="1141"/>
      <c r="O313" s="1141"/>
      <c r="P313" s="1141"/>
      <c r="Q313" s="1141"/>
      <c r="R313" s="1141"/>
      <c r="S313" s="1141"/>
      <c r="T313" s="1141"/>
      <c r="U313" s="1135">
        <f t="shared" si="28"/>
        <v>800</v>
      </c>
      <c r="V313" s="1141"/>
      <c r="W313" s="1141"/>
      <c r="X313" s="1141"/>
      <c r="Y313" s="1141"/>
      <c r="Z313" s="1141"/>
      <c r="AA313" s="1141"/>
      <c r="AB313" s="1141"/>
      <c r="AC313" s="1141"/>
      <c r="AD313" s="1141"/>
      <c r="AE313" s="1135">
        <f t="shared" si="32"/>
        <v>55.5</v>
      </c>
      <c r="AF313" s="1141"/>
      <c r="AG313" s="1135">
        <f t="shared" si="33"/>
        <v>26.8</v>
      </c>
      <c r="AH313" s="1141"/>
      <c r="AI313" s="1141"/>
      <c r="AJ313" s="1142"/>
      <c r="AK313" s="1137">
        <f t="shared" si="34"/>
        <v>4.7000000000000455</v>
      </c>
      <c r="AL313" s="1137">
        <f t="shared" si="34"/>
        <v>0</v>
      </c>
    </row>
    <row r="314" spans="1:38" hidden="1" outlineLevel="2" x14ac:dyDescent="0.3">
      <c r="A314" s="1130"/>
      <c r="B314" s="1138"/>
      <c r="C314" s="1139"/>
      <c r="D314" s="1140"/>
      <c r="E314" s="1134">
        <f t="shared" si="30"/>
        <v>923</v>
      </c>
      <c r="F314" s="1141"/>
      <c r="G314" s="1141"/>
      <c r="H314" s="1141"/>
      <c r="I314" s="1141"/>
      <c r="J314" s="1141"/>
      <c r="K314" s="1135">
        <f t="shared" si="31"/>
        <v>36</v>
      </c>
      <c r="L314" s="1141"/>
      <c r="M314" s="1141"/>
      <c r="N314" s="1141"/>
      <c r="O314" s="1141"/>
      <c r="P314" s="1141"/>
      <c r="Q314" s="1141"/>
      <c r="R314" s="1141"/>
      <c r="S314" s="1141"/>
      <c r="T314" s="1141"/>
      <c r="U314" s="1135">
        <f t="shared" si="28"/>
        <v>800</v>
      </c>
      <c r="V314" s="1141"/>
      <c r="W314" s="1141"/>
      <c r="X314" s="1141"/>
      <c r="Y314" s="1141"/>
      <c r="Z314" s="1141"/>
      <c r="AA314" s="1141"/>
      <c r="AB314" s="1141"/>
      <c r="AC314" s="1141"/>
      <c r="AD314" s="1141"/>
      <c r="AE314" s="1135">
        <f t="shared" si="32"/>
        <v>55.5</v>
      </c>
      <c r="AF314" s="1141"/>
      <c r="AG314" s="1135">
        <f t="shared" si="33"/>
        <v>26.8</v>
      </c>
      <c r="AH314" s="1141"/>
      <c r="AI314" s="1141"/>
      <c r="AJ314" s="1142"/>
      <c r="AK314" s="1137">
        <f t="shared" si="34"/>
        <v>4.7000000000000455</v>
      </c>
      <c r="AL314" s="1137">
        <f t="shared" si="34"/>
        <v>0</v>
      </c>
    </row>
    <row r="315" spans="1:38" hidden="1" outlineLevel="2" x14ac:dyDescent="0.3">
      <c r="A315" s="1130"/>
      <c r="B315" s="1138"/>
      <c r="C315" s="1139"/>
      <c r="D315" s="1140"/>
      <c r="E315" s="1134">
        <f t="shared" si="30"/>
        <v>923</v>
      </c>
      <c r="F315" s="1141"/>
      <c r="G315" s="1141"/>
      <c r="H315" s="1141"/>
      <c r="I315" s="1141"/>
      <c r="J315" s="1141"/>
      <c r="K315" s="1135">
        <f t="shared" si="31"/>
        <v>36</v>
      </c>
      <c r="L315" s="1141"/>
      <c r="M315" s="1141"/>
      <c r="N315" s="1141"/>
      <c r="O315" s="1141"/>
      <c r="P315" s="1141"/>
      <c r="Q315" s="1141"/>
      <c r="R315" s="1141"/>
      <c r="S315" s="1141"/>
      <c r="T315" s="1141"/>
      <c r="U315" s="1135">
        <f t="shared" si="28"/>
        <v>800</v>
      </c>
      <c r="V315" s="1141"/>
      <c r="W315" s="1141"/>
      <c r="X315" s="1141"/>
      <c r="Y315" s="1141"/>
      <c r="Z315" s="1141"/>
      <c r="AA315" s="1141"/>
      <c r="AB315" s="1141"/>
      <c r="AC315" s="1141"/>
      <c r="AD315" s="1141"/>
      <c r="AE315" s="1135">
        <f t="shared" si="32"/>
        <v>55.5</v>
      </c>
      <c r="AF315" s="1141"/>
      <c r="AG315" s="1135">
        <f t="shared" si="33"/>
        <v>26.8</v>
      </c>
      <c r="AH315" s="1141"/>
      <c r="AI315" s="1141"/>
      <c r="AJ315" s="1142"/>
      <c r="AK315" s="1137">
        <f t="shared" si="34"/>
        <v>4.7000000000000455</v>
      </c>
      <c r="AL315" s="1137">
        <f t="shared" si="34"/>
        <v>0</v>
      </c>
    </row>
    <row r="316" spans="1:38" hidden="1" outlineLevel="2" x14ac:dyDescent="0.3">
      <c r="A316" s="1130"/>
      <c r="B316" s="1138"/>
      <c r="C316" s="1139"/>
      <c r="D316" s="1140"/>
      <c r="E316" s="1134">
        <f t="shared" si="30"/>
        <v>923</v>
      </c>
      <c r="F316" s="1141"/>
      <c r="G316" s="1141"/>
      <c r="H316" s="1141"/>
      <c r="I316" s="1141"/>
      <c r="J316" s="1141"/>
      <c r="K316" s="1135">
        <f t="shared" si="31"/>
        <v>36</v>
      </c>
      <c r="L316" s="1141"/>
      <c r="M316" s="1141"/>
      <c r="N316" s="1141"/>
      <c r="O316" s="1141"/>
      <c r="P316" s="1141"/>
      <c r="Q316" s="1141"/>
      <c r="R316" s="1141"/>
      <c r="S316" s="1141"/>
      <c r="T316" s="1141"/>
      <c r="U316" s="1135">
        <f t="shared" si="28"/>
        <v>800</v>
      </c>
      <c r="V316" s="1141"/>
      <c r="W316" s="1141"/>
      <c r="X316" s="1141"/>
      <c r="Y316" s="1141"/>
      <c r="Z316" s="1141"/>
      <c r="AA316" s="1141"/>
      <c r="AB316" s="1141"/>
      <c r="AC316" s="1141"/>
      <c r="AD316" s="1141"/>
      <c r="AE316" s="1135">
        <f t="shared" si="32"/>
        <v>55.5</v>
      </c>
      <c r="AF316" s="1141"/>
      <c r="AG316" s="1135">
        <f t="shared" si="33"/>
        <v>26.8</v>
      </c>
      <c r="AH316" s="1141"/>
      <c r="AI316" s="1141"/>
      <c r="AJ316" s="1142"/>
      <c r="AK316" s="1137">
        <f t="shared" si="34"/>
        <v>4.7000000000000455</v>
      </c>
      <c r="AL316" s="1137">
        <f t="shared" si="34"/>
        <v>0</v>
      </c>
    </row>
    <row r="317" spans="1:38" hidden="1" outlineLevel="2" x14ac:dyDescent="0.3">
      <c r="A317" s="1130"/>
      <c r="B317" s="1138"/>
      <c r="C317" s="1139"/>
      <c r="D317" s="1140"/>
      <c r="E317" s="1134">
        <f t="shared" si="30"/>
        <v>923</v>
      </c>
      <c r="F317" s="1141"/>
      <c r="G317" s="1141"/>
      <c r="H317" s="1141"/>
      <c r="I317" s="1141"/>
      <c r="J317" s="1141"/>
      <c r="K317" s="1135">
        <f t="shared" si="31"/>
        <v>36</v>
      </c>
      <c r="L317" s="1141"/>
      <c r="M317" s="1141"/>
      <c r="N317" s="1141"/>
      <c r="O317" s="1141"/>
      <c r="P317" s="1141"/>
      <c r="Q317" s="1141"/>
      <c r="R317" s="1141"/>
      <c r="S317" s="1141"/>
      <c r="T317" s="1141"/>
      <c r="U317" s="1135">
        <f t="shared" si="28"/>
        <v>800</v>
      </c>
      <c r="V317" s="1141"/>
      <c r="W317" s="1141"/>
      <c r="X317" s="1141"/>
      <c r="Y317" s="1141"/>
      <c r="Z317" s="1141"/>
      <c r="AA317" s="1141"/>
      <c r="AB317" s="1141"/>
      <c r="AC317" s="1141"/>
      <c r="AD317" s="1141"/>
      <c r="AE317" s="1135">
        <f t="shared" si="32"/>
        <v>55.5</v>
      </c>
      <c r="AF317" s="1141"/>
      <c r="AG317" s="1135">
        <f t="shared" si="33"/>
        <v>26.8</v>
      </c>
      <c r="AH317" s="1141"/>
      <c r="AI317" s="1141"/>
      <c r="AJ317" s="1142"/>
      <c r="AK317" s="1137">
        <f t="shared" si="34"/>
        <v>4.7000000000000455</v>
      </c>
      <c r="AL317" s="1137">
        <f t="shared" si="34"/>
        <v>0</v>
      </c>
    </row>
    <row r="318" spans="1:38" hidden="1" outlineLevel="2" x14ac:dyDescent="0.3">
      <c r="A318" s="1130"/>
      <c r="B318" s="1138"/>
      <c r="C318" s="1139"/>
      <c r="D318" s="1140"/>
      <c r="E318" s="1134">
        <f t="shared" si="30"/>
        <v>923</v>
      </c>
      <c r="F318" s="1141"/>
      <c r="G318" s="1141"/>
      <c r="H318" s="1141"/>
      <c r="I318" s="1141"/>
      <c r="J318" s="1141"/>
      <c r="K318" s="1135">
        <f t="shared" si="31"/>
        <v>36</v>
      </c>
      <c r="L318" s="1141"/>
      <c r="M318" s="1141"/>
      <c r="N318" s="1141"/>
      <c r="O318" s="1141"/>
      <c r="P318" s="1141"/>
      <c r="Q318" s="1141"/>
      <c r="R318" s="1141"/>
      <c r="S318" s="1141"/>
      <c r="T318" s="1141"/>
      <c r="U318" s="1135">
        <f t="shared" si="28"/>
        <v>800</v>
      </c>
      <c r="V318" s="1141"/>
      <c r="W318" s="1141"/>
      <c r="X318" s="1141"/>
      <c r="Y318" s="1141"/>
      <c r="Z318" s="1141"/>
      <c r="AA318" s="1141"/>
      <c r="AB318" s="1141"/>
      <c r="AC318" s="1141"/>
      <c r="AD318" s="1141"/>
      <c r="AE318" s="1135">
        <f t="shared" si="32"/>
        <v>55.5</v>
      </c>
      <c r="AF318" s="1141"/>
      <c r="AG318" s="1135">
        <f t="shared" si="33"/>
        <v>26.8</v>
      </c>
      <c r="AH318" s="1141"/>
      <c r="AI318" s="1141"/>
      <c r="AJ318" s="1142"/>
      <c r="AK318" s="1137">
        <f t="shared" si="34"/>
        <v>4.7000000000000455</v>
      </c>
      <c r="AL318" s="1137">
        <f t="shared" si="34"/>
        <v>0</v>
      </c>
    </row>
    <row r="319" spans="1:38" hidden="1" outlineLevel="2" x14ac:dyDescent="0.3">
      <c r="A319" s="1130"/>
      <c r="B319" s="1138"/>
      <c r="C319" s="1139"/>
      <c r="D319" s="1140"/>
      <c r="E319" s="1134">
        <f t="shared" si="30"/>
        <v>923</v>
      </c>
      <c r="F319" s="1141"/>
      <c r="G319" s="1141"/>
      <c r="H319" s="1141"/>
      <c r="I319" s="1141"/>
      <c r="J319" s="1141"/>
      <c r="K319" s="1135">
        <f t="shared" si="31"/>
        <v>36</v>
      </c>
      <c r="L319" s="1141"/>
      <c r="M319" s="1141"/>
      <c r="N319" s="1141"/>
      <c r="O319" s="1141"/>
      <c r="P319" s="1141"/>
      <c r="Q319" s="1141"/>
      <c r="R319" s="1141"/>
      <c r="S319" s="1141"/>
      <c r="T319" s="1141"/>
      <c r="U319" s="1135">
        <f t="shared" si="28"/>
        <v>800</v>
      </c>
      <c r="V319" s="1141"/>
      <c r="W319" s="1141"/>
      <c r="X319" s="1141"/>
      <c r="Y319" s="1141"/>
      <c r="Z319" s="1141"/>
      <c r="AA319" s="1141"/>
      <c r="AB319" s="1141"/>
      <c r="AC319" s="1141"/>
      <c r="AD319" s="1141"/>
      <c r="AE319" s="1135">
        <f t="shared" si="32"/>
        <v>55.5</v>
      </c>
      <c r="AF319" s="1141"/>
      <c r="AG319" s="1135">
        <f t="shared" si="33"/>
        <v>26.8</v>
      </c>
      <c r="AH319" s="1141"/>
      <c r="AI319" s="1141"/>
      <c r="AJ319" s="1142"/>
      <c r="AK319" s="1137">
        <f t="shared" si="34"/>
        <v>4.7000000000000455</v>
      </c>
      <c r="AL319" s="1137">
        <f t="shared" si="34"/>
        <v>0</v>
      </c>
    </row>
    <row r="320" spans="1:38" hidden="1" outlineLevel="2" x14ac:dyDescent="0.3">
      <c r="A320" s="1130"/>
      <c r="B320" s="1138"/>
      <c r="C320" s="1139"/>
      <c r="D320" s="1140"/>
      <c r="E320" s="1134">
        <f t="shared" si="30"/>
        <v>923</v>
      </c>
      <c r="F320" s="1141"/>
      <c r="G320" s="1141"/>
      <c r="H320" s="1141"/>
      <c r="I320" s="1141"/>
      <c r="J320" s="1141"/>
      <c r="K320" s="1135">
        <f t="shared" si="31"/>
        <v>36</v>
      </c>
      <c r="L320" s="1141"/>
      <c r="M320" s="1141"/>
      <c r="N320" s="1141"/>
      <c r="O320" s="1141"/>
      <c r="P320" s="1141"/>
      <c r="Q320" s="1141"/>
      <c r="R320" s="1141"/>
      <c r="S320" s="1141"/>
      <c r="T320" s="1141"/>
      <c r="U320" s="1135">
        <f t="shared" si="28"/>
        <v>800</v>
      </c>
      <c r="V320" s="1141"/>
      <c r="W320" s="1141"/>
      <c r="X320" s="1141"/>
      <c r="Y320" s="1141"/>
      <c r="Z320" s="1141"/>
      <c r="AA320" s="1141"/>
      <c r="AB320" s="1141"/>
      <c r="AC320" s="1141"/>
      <c r="AD320" s="1141"/>
      <c r="AE320" s="1135">
        <f t="shared" si="32"/>
        <v>55.5</v>
      </c>
      <c r="AF320" s="1141"/>
      <c r="AG320" s="1135">
        <f t="shared" si="33"/>
        <v>26.8</v>
      </c>
      <c r="AH320" s="1141"/>
      <c r="AI320" s="1141"/>
      <c r="AJ320" s="1142"/>
      <c r="AK320" s="1137">
        <f t="shared" si="34"/>
        <v>4.7000000000000455</v>
      </c>
      <c r="AL320" s="1137">
        <f t="shared" si="34"/>
        <v>0</v>
      </c>
    </row>
    <row r="321" spans="1:38" hidden="1" outlineLevel="2" x14ac:dyDescent="0.3">
      <c r="A321" s="1130"/>
      <c r="B321" s="1138"/>
      <c r="C321" s="1139"/>
      <c r="D321" s="1140"/>
      <c r="E321" s="1134">
        <f t="shared" si="30"/>
        <v>923</v>
      </c>
      <c r="F321" s="1141"/>
      <c r="G321" s="1141"/>
      <c r="H321" s="1141"/>
      <c r="I321" s="1141"/>
      <c r="J321" s="1141"/>
      <c r="K321" s="1135">
        <f t="shared" si="31"/>
        <v>36</v>
      </c>
      <c r="L321" s="1141"/>
      <c r="M321" s="1141"/>
      <c r="N321" s="1141"/>
      <c r="O321" s="1141"/>
      <c r="P321" s="1141"/>
      <c r="Q321" s="1141"/>
      <c r="R321" s="1141"/>
      <c r="S321" s="1141"/>
      <c r="T321" s="1141"/>
      <c r="U321" s="1135">
        <f t="shared" si="28"/>
        <v>800</v>
      </c>
      <c r="V321" s="1141"/>
      <c r="W321" s="1141"/>
      <c r="X321" s="1141"/>
      <c r="Y321" s="1141"/>
      <c r="Z321" s="1141"/>
      <c r="AA321" s="1141"/>
      <c r="AB321" s="1141"/>
      <c r="AC321" s="1141"/>
      <c r="AD321" s="1141"/>
      <c r="AE321" s="1135">
        <f t="shared" si="32"/>
        <v>55.5</v>
      </c>
      <c r="AF321" s="1141"/>
      <c r="AG321" s="1135">
        <f t="shared" si="33"/>
        <v>26.8</v>
      </c>
      <c r="AH321" s="1141"/>
      <c r="AI321" s="1141"/>
      <c r="AJ321" s="1142"/>
      <c r="AK321" s="1137">
        <f t="shared" si="34"/>
        <v>4.7000000000000455</v>
      </c>
      <c r="AL321" s="1137">
        <f t="shared" si="34"/>
        <v>0</v>
      </c>
    </row>
    <row r="322" spans="1:38" hidden="1" outlineLevel="2" x14ac:dyDescent="0.3">
      <c r="A322" s="1130"/>
      <c r="B322" s="1138"/>
      <c r="C322" s="1139"/>
      <c r="D322" s="1140"/>
      <c r="E322" s="1134">
        <f t="shared" si="30"/>
        <v>923</v>
      </c>
      <c r="F322" s="1141"/>
      <c r="G322" s="1141"/>
      <c r="H322" s="1141"/>
      <c r="I322" s="1141"/>
      <c r="J322" s="1141"/>
      <c r="K322" s="1135">
        <f t="shared" si="31"/>
        <v>36</v>
      </c>
      <c r="L322" s="1141"/>
      <c r="M322" s="1141"/>
      <c r="N322" s="1141"/>
      <c r="O322" s="1141"/>
      <c r="P322" s="1141"/>
      <c r="Q322" s="1141"/>
      <c r="R322" s="1141"/>
      <c r="S322" s="1141"/>
      <c r="T322" s="1141"/>
      <c r="U322" s="1135">
        <f t="shared" si="28"/>
        <v>800</v>
      </c>
      <c r="V322" s="1141"/>
      <c r="W322" s="1141"/>
      <c r="X322" s="1141"/>
      <c r="Y322" s="1141"/>
      <c r="Z322" s="1141"/>
      <c r="AA322" s="1141"/>
      <c r="AB322" s="1141"/>
      <c r="AC322" s="1141"/>
      <c r="AD322" s="1141"/>
      <c r="AE322" s="1135">
        <f t="shared" si="32"/>
        <v>55.5</v>
      </c>
      <c r="AF322" s="1141"/>
      <c r="AG322" s="1135">
        <f t="shared" si="33"/>
        <v>26.8</v>
      </c>
      <c r="AH322" s="1141"/>
      <c r="AI322" s="1141"/>
      <c r="AJ322" s="1142"/>
      <c r="AK322" s="1137">
        <f t="shared" si="34"/>
        <v>4.7000000000000455</v>
      </c>
      <c r="AL322" s="1137">
        <f t="shared" si="34"/>
        <v>0</v>
      </c>
    </row>
    <row r="323" spans="1:38" hidden="1" outlineLevel="2" x14ac:dyDescent="0.3">
      <c r="A323" s="1130"/>
      <c r="B323" s="1138"/>
      <c r="C323" s="1139"/>
      <c r="D323" s="1140"/>
      <c r="E323" s="1134">
        <f t="shared" si="30"/>
        <v>923</v>
      </c>
      <c r="F323" s="1141"/>
      <c r="G323" s="1141"/>
      <c r="H323" s="1141"/>
      <c r="I323" s="1141"/>
      <c r="J323" s="1141"/>
      <c r="K323" s="1135">
        <f t="shared" si="31"/>
        <v>36</v>
      </c>
      <c r="L323" s="1141"/>
      <c r="M323" s="1141"/>
      <c r="N323" s="1141"/>
      <c r="O323" s="1141"/>
      <c r="P323" s="1141"/>
      <c r="Q323" s="1141"/>
      <c r="R323" s="1141"/>
      <c r="S323" s="1141"/>
      <c r="T323" s="1141"/>
      <c r="U323" s="1135">
        <f t="shared" si="28"/>
        <v>800</v>
      </c>
      <c r="V323" s="1141"/>
      <c r="W323" s="1141"/>
      <c r="X323" s="1141"/>
      <c r="Y323" s="1141"/>
      <c r="Z323" s="1141"/>
      <c r="AA323" s="1141"/>
      <c r="AB323" s="1141"/>
      <c r="AC323" s="1141"/>
      <c r="AD323" s="1141"/>
      <c r="AE323" s="1135">
        <f t="shared" si="32"/>
        <v>55.5</v>
      </c>
      <c r="AF323" s="1141"/>
      <c r="AG323" s="1135">
        <f t="shared" si="33"/>
        <v>26.8</v>
      </c>
      <c r="AH323" s="1141"/>
      <c r="AI323" s="1141"/>
      <c r="AJ323" s="1142"/>
      <c r="AK323" s="1137">
        <f t="shared" si="34"/>
        <v>4.7000000000000455</v>
      </c>
      <c r="AL323" s="1137">
        <f t="shared" si="34"/>
        <v>0</v>
      </c>
    </row>
    <row r="324" spans="1:38" hidden="1" outlineLevel="2" x14ac:dyDescent="0.3">
      <c r="A324" s="1130"/>
      <c r="B324" s="1138"/>
      <c r="C324" s="1139"/>
      <c r="D324" s="1140"/>
      <c r="E324" s="1134">
        <f t="shared" si="30"/>
        <v>923</v>
      </c>
      <c r="F324" s="1141"/>
      <c r="G324" s="1141"/>
      <c r="H324" s="1141"/>
      <c r="I324" s="1141"/>
      <c r="J324" s="1141"/>
      <c r="K324" s="1135">
        <f t="shared" si="31"/>
        <v>36</v>
      </c>
      <c r="L324" s="1141"/>
      <c r="M324" s="1141"/>
      <c r="N324" s="1141"/>
      <c r="O324" s="1141"/>
      <c r="P324" s="1141"/>
      <c r="Q324" s="1141"/>
      <c r="R324" s="1141"/>
      <c r="S324" s="1141"/>
      <c r="T324" s="1141"/>
      <c r="U324" s="1135">
        <f t="shared" si="28"/>
        <v>800</v>
      </c>
      <c r="V324" s="1141"/>
      <c r="W324" s="1141"/>
      <c r="X324" s="1141"/>
      <c r="Y324" s="1141"/>
      <c r="Z324" s="1141"/>
      <c r="AA324" s="1141"/>
      <c r="AB324" s="1141"/>
      <c r="AC324" s="1141"/>
      <c r="AD324" s="1141"/>
      <c r="AE324" s="1135">
        <f t="shared" si="32"/>
        <v>55.5</v>
      </c>
      <c r="AF324" s="1141"/>
      <c r="AG324" s="1135">
        <f t="shared" si="33"/>
        <v>26.8</v>
      </c>
      <c r="AH324" s="1141"/>
      <c r="AI324" s="1141"/>
      <c r="AJ324" s="1142"/>
      <c r="AK324" s="1137">
        <f t="shared" si="34"/>
        <v>4.7000000000000455</v>
      </c>
      <c r="AL324" s="1137">
        <f t="shared" si="34"/>
        <v>0</v>
      </c>
    </row>
    <row r="325" spans="1:38" hidden="1" outlineLevel="2" x14ac:dyDescent="0.3">
      <c r="A325" s="1130"/>
      <c r="B325" s="1138"/>
      <c r="C325" s="1139"/>
      <c r="D325" s="1140"/>
      <c r="E325" s="1143"/>
      <c r="F325" s="1141"/>
      <c r="G325" s="1141"/>
      <c r="H325" s="1141"/>
      <c r="I325" s="1141"/>
      <c r="J325" s="1141"/>
      <c r="K325" s="1141"/>
      <c r="L325" s="1141"/>
      <c r="M325" s="1141"/>
      <c r="N325" s="1141"/>
      <c r="O325" s="1141"/>
      <c r="P325" s="1141"/>
      <c r="Q325" s="1141"/>
      <c r="R325" s="1141"/>
      <c r="S325" s="1141"/>
      <c r="T325" s="1141"/>
      <c r="U325" s="1135"/>
      <c r="V325" s="1141"/>
      <c r="W325" s="1141"/>
      <c r="X325" s="1141"/>
      <c r="Y325" s="1141"/>
      <c r="Z325" s="1141"/>
      <c r="AA325" s="1141"/>
      <c r="AB325" s="1141"/>
      <c r="AC325" s="1141"/>
      <c r="AD325" s="1141"/>
      <c r="AE325" s="1135"/>
      <c r="AF325" s="1141"/>
      <c r="AG325" s="1135"/>
      <c r="AH325" s="1141"/>
      <c r="AI325" s="1141"/>
      <c r="AJ325" s="1142"/>
      <c r="AK325" s="1137"/>
      <c r="AL325" s="1144"/>
    </row>
    <row r="326" spans="1:38" hidden="1" outlineLevel="2" x14ac:dyDescent="0.3">
      <c r="A326" s="1130"/>
      <c r="B326" s="1138"/>
      <c r="C326" s="1139"/>
      <c r="D326" s="1140"/>
      <c r="E326" s="1143"/>
      <c r="F326" s="1141"/>
      <c r="G326" s="1141"/>
      <c r="H326" s="1141"/>
      <c r="I326" s="1141"/>
      <c r="J326" s="1141"/>
      <c r="K326" s="1141"/>
      <c r="L326" s="1141"/>
      <c r="M326" s="1141"/>
      <c r="N326" s="1141"/>
      <c r="O326" s="1141"/>
      <c r="P326" s="1141"/>
      <c r="Q326" s="1141"/>
      <c r="R326" s="1141"/>
      <c r="S326" s="1141"/>
      <c r="T326" s="1141"/>
      <c r="U326" s="1141"/>
      <c r="V326" s="1141"/>
      <c r="W326" s="1141"/>
      <c r="X326" s="1141"/>
      <c r="Y326" s="1141"/>
      <c r="Z326" s="1141"/>
      <c r="AA326" s="1141"/>
      <c r="AB326" s="1141"/>
      <c r="AC326" s="1141"/>
      <c r="AD326" s="1141"/>
      <c r="AE326" s="1141"/>
      <c r="AF326" s="1141"/>
      <c r="AG326" s="1141"/>
      <c r="AH326" s="1141"/>
      <c r="AI326" s="1141"/>
      <c r="AJ326" s="1142"/>
      <c r="AK326" s="1142"/>
      <c r="AL326" s="1144"/>
    </row>
    <row r="327" spans="1:38" ht="15" outlineLevel="1" collapsed="1" thickBot="1" x14ac:dyDescent="0.35">
      <c r="A327" s="1130"/>
      <c r="B327" s="1145" t="s">
        <v>550</v>
      </c>
      <c r="C327" s="1146"/>
      <c r="D327" s="1147"/>
      <c r="E327" s="1148">
        <f t="shared" ref="E327:AL327" si="35">SUBTOTAL(9,E275:E326)</f>
        <v>46150</v>
      </c>
      <c r="F327" s="1149">
        <f t="shared" si="35"/>
        <v>7435.1000000000013</v>
      </c>
      <c r="G327" s="1149">
        <f t="shared" si="35"/>
        <v>0</v>
      </c>
      <c r="H327" s="1149">
        <f t="shared" si="35"/>
        <v>0</v>
      </c>
      <c r="I327" s="1149">
        <f t="shared" si="35"/>
        <v>0</v>
      </c>
      <c r="J327" s="1149">
        <f t="shared" si="35"/>
        <v>0</v>
      </c>
      <c r="K327" s="1149">
        <f t="shared" si="35"/>
        <v>1800</v>
      </c>
      <c r="L327" s="1149">
        <f t="shared" si="35"/>
        <v>0</v>
      </c>
      <c r="M327" s="1149">
        <f t="shared" si="35"/>
        <v>0</v>
      </c>
      <c r="N327" s="1149">
        <f t="shared" si="35"/>
        <v>0</v>
      </c>
      <c r="O327" s="1149">
        <f t="shared" si="35"/>
        <v>0</v>
      </c>
      <c r="P327" s="1149">
        <f t="shared" si="35"/>
        <v>0</v>
      </c>
      <c r="Q327" s="1149">
        <f t="shared" si="35"/>
        <v>0</v>
      </c>
      <c r="R327" s="1149">
        <f t="shared" si="35"/>
        <v>0</v>
      </c>
      <c r="S327" s="1149">
        <f t="shared" si="35"/>
        <v>0</v>
      </c>
      <c r="T327" s="1149">
        <f t="shared" si="35"/>
        <v>0</v>
      </c>
      <c r="U327" s="1149">
        <f t="shared" si="35"/>
        <v>40000</v>
      </c>
      <c r="V327" s="1149">
        <f t="shared" si="35"/>
        <v>0</v>
      </c>
      <c r="W327" s="1149">
        <f t="shared" si="35"/>
        <v>0</v>
      </c>
      <c r="X327" s="1149">
        <f t="shared" si="35"/>
        <v>0</v>
      </c>
      <c r="Y327" s="1149">
        <f t="shared" si="35"/>
        <v>0</v>
      </c>
      <c r="Z327" s="1149">
        <f t="shared" si="35"/>
        <v>0</v>
      </c>
      <c r="AA327" s="1149">
        <f t="shared" si="35"/>
        <v>0</v>
      </c>
      <c r="AB327" s="1149">
        <f t="shared" si="35"/>
        <v>0</v>
      </c>
      <c r="AC327" s="1149">
        <f t="shared" si="35"/>
        <v>0</v>
      </c>
      <c r="AD327" s="1149">
        <f t="shared" si="35"/>
        <v>0</v>
      </c>
      <c r="AE327" s="1149">
        <f t="shared" si="35"/>
        <v>2775</v>
      </c>
      <c r="AF327" s="1149">
        <f t="shared" si="35"/>
        <v>0</v>
      </c>
      <c r="AG327" s="1149">
        <f t="shared" si="35"/>
        <v>1339.9999999999989</v>
      </c>
      <c r="AH327" s="1149">
        <f t="shared" si="35"/>
        <v>0</v>
      </c>
      <c r="AI327" s="1149">
        <f t="shared" si="35"/>
        <v>0</v>
      </c>
      <c r="AJ327" s="1149">
        <f t="shared" si="35"/>
        <v>0</v>
      </c>
      <c r="AK327" s="1149">
        <f t="shared" si="35"/>
        <v>235.00000000000227</v>
      </c>
      <c r="AL327" s="1149">
        <f t="shared" si="35"/>
        <v>7435.1000000000013</v>
      </c>
    </row>
    <row r="328" spans="1:38" ht="36" outlineLevel="1" x14ac:dyDescent="0.35">
      <c r="A328" s="1150" t="s">
        <v>1460</v>
      </c>
      <c r="B328" s="1151" t="s">
        <v>625</v>
      </c>
      <c r="C328" s="1152"/>
      <c r="D328" s="1153"/>
      <c r="E328" s="1154"/>
      <c r="F328" s="1155"/>
      <c r="G328" s="1155"/>
      <c r="H328" s="1155"/>
      <c r="I328" s="1155"/>
      <c r="J328" s="1155"/>
      <c r="K328" s="1155"/>
      <c r="L328" s="1155"/>
      <c r="M328" s="1155"/>
      <c r="N328" s="1155"/>
      <c r="O328" s="1155"/>
      <c r="P328" s="1155"/>
      <c r="Q328" s="1155"/>
      <c r="R328" s="1155"/>
      <c r="S328" s="1155"/>
      <c r="T328" s="1155"/>
      <c r="U328" s="1155"/>
      <c r="V328" s="1155"/>
      <c r="W328" s="1155"/>
      <c r="X328" s="1155"/>
      <c r="Y328" s="1155"/>
      <c r="Z328" s="1155"/>
      <c r="AA328" s="1155"/>
      <c r="AB328" s="1155"/>
      <c r="AC328" s="1155"/>
      <c r="AD328" s="1155"/>
      <c r="AE328" s="1155"/>
      <c r="AF328" s="1155"/>
      <c r="AG328" s="1155"/>
      <c r="AH328" s="1155"/>
      <c r="AI328" s="1155"/>
      <c r="AJ328" s="1156"/>
      <c r="AK328" s="1156"/>
      <c r="AL328" s="1157"/>
    </row>
    <row r="329" spans="1:38" hidden="1" outlineLevel="2" x14ac:dyDescent="0.3">
      <c r="A329" s="1158"/>
      <c r="B329" s="1159" t="s">
        <v>1461</v>
      </c>
      <c r="C329" s="1160"/>
      <c r="D329" s="1161"/>
      <c r="E329" s="1162"/>
      <c r="F329" s="1163"/>
      <c r="G329" s="1163">
        <v>200</v>
      </c>
      <c r="H329" s="1163"/>
      <c r="I329" s="1163">
        <v>500</v>
      </c>
      <c r="J329" s="1163"/>
      <c r="K329" s="1163">
        <v>0</v>
      </c>
      <c r="L329" s="1163"/>
      <c r="M329" s="1163">
        <v>400</v>
      </c>
      <c r="N329" s="1163"/>
      <c r="O329" s="1163">
        <v>500</v>
      </c>
      <c r="P329" s="1163"/>
      <c r="Q329" s="1163">
        <v>200</v>
      </c>
      <c r="R329" s="1163"/>
      <c r="S329" s="1163">
        <v>100</v>
      </c>
      <c r="T329" s="1163"/>
      <c r="U329" s="1163">
        <v>0</v>
      </c>
      <c r="V329" s="1163"/>
      <c r="W329" s="1163">
        <v>250</v>
      </c>
      <c r="X329" s="1163"/>
      <c r="Y329" s="1163">
        <v>100</v>
      </c>
      <c r="Z329" s="1163"/>
      <c r="AA329" s="1163">
        <v>30</v>
      </c>
      <c r="AB329" s="1163"/>
      <c r="AC329" s="1163">
        <v>160</v>
      </c>
      <c r="AD329" s="1163"/>
      <c r="AE329" s="1163">
        <v>50</v>
      </c>
      <c r="AF329" s="1163"/>
      <c r="AG329" s="1163">
        <v>0</v>
      </c>
      <c r="AH329" s="1163"/>
      <c r="AI329" s="1163">
        <v>0</v>
      </c>
      <c r="AJ329" s="1164"/>
      <c r="AK329" s="1164"/>
      <c r="AL329" s="1165"/>
    </row>
    <row r="330" spans="1:38" hidden="1" outlineLevel="2" x14ac:dyDescent="0.3">
      <c r="A330" s="1158"/>
      <c r="B330" s="1159" t="s">
        <v>1462</v>
      </c>
      <c r="C330" s="1160"/>
      <c r="D330" s="1161"/>
      <c r="E330" s="1162">
        <v>0</v>
      </c>
      <c r="F330" s="1163"/>
      <c r="G330" s="1163">
        <v>0</v>
      </c>
      <c r="H330" s="1163"/>
      <c r="I330" s="1163">
        <v>0</v>
      </c>
      <c r="J330" s="1163"/>
      <c r="K330" s="1163">
        <v>0</v>
      </c>
      <c r="L330" s="1163"/>
      <c r="M330" s="1163">
        <v>0</v>
      </c>
      <c r="N330" s="1163"/>
      <c r="O330" s="1163">
        <v>0</v>
      </c>
      <c r="P330" s="1163"/>
      <c r="Q330" s="1163">
        <v>0</v>
      </c>
      <c r="R330" s="1163"/>
      <c r="S330" s="1163">
        <v>0</v>
      </c>
      <c r="T330" s="1163"/>
      <c r="U330" s="1163">
        <v>0</v>
      </c>
      <c r="V330" s="1163"/>
      <c r="W330" s="1163">
        <v>200</v>
      </c>
      <c r="X330" s="1163"/>
      <c r="Y330" s="1163">
        <v>0</v>
      </c>
      <c r="Z330" s="1163"/>
      <c r="AA330" s="1163">
        <v>0</v>
      </c>
      <c r="AB330" s="1163"/>
      <c r="AC330" s="1163">
        <v>0</v>
      </c>
      <c r="AD330" s="1163"/>
      <c r="AE330" s="1163">
        <v>1000</v>
      </c>
      <c r="AF330" s="1163"/>
      <c r="AG330" s="1163">
        <v>100</v>
      </c>
      <c r="AH330" s="1163"/>
      <c r="AI330" s="1163">
        <v>0</v>
      </c>
      <c r="AJ330" s="1164"/>
      <c r="AK330" s="1164"/>
      <c r="AL330" s="1165"/>
    </row>
    <row r="331" spans="1:38" hidden="1" outlineLevel="2" x14ac:dyDescent="0.3">
      <c r="A331" s="1158"/>
      <c r="B331" s="1159" t="s">
        <v>1463</v>
      </c>
      <c r="C331" s="1160"/>
      <c r="D331" s="1161"/>
      <c r="E331" s="1162">
        <v>0</v>
      </c>
      <c r="F331" s="1163"/>
      <c r="G331" s="1163">
        <v>0</v>
      </c>
      <c r="H331" s="1163"/>
      <c r="I331" s="1163">
        <v>0</v>
      </c>
      <c r="J331" s="1163"/>
      <c r="K331" s="1163">
        <v>0</v>
      </c>
      <c r="L331" s="1163"/>
      <c r="M331" s="1163">
        <v>0</v>
      </c>
      <c r="N331" s="1163"/>
      <c r="O331" s="1163">
        <v>0</v>
      </c>
      <c r="P331" s="1163"/>
      <c r="Q331" s="1163">
        <v>0</v>
      </c>
      <c r="R331" s="1163"/>
      <c r="S331" s="1163">
        <v>0</v>
      </c>
      <c r="T331" s="1163"/>
      <c r="U331" s="1163">
        <v>0</v>
      </c>
      <c r="V331" s="1163"/>
      <c r="W331" s="1163">
        <v>0</v>
      </c>
      <c r="X331" s="1163"/>
      <c r="Y331" s="1163">
        <v>0</v>
      </c>
      <c r="Z331" s="1163"/>
      <c r="AA331" s="1163">
        <v>0</v>
      </c>
      <c r="AB331" s="1163"/>
      <c r="AC331" s="1163">
        <v>0</v>
      </c>
      <c r="AD331" s="1163"/>
      <c r="AE331" s="1163">
        <v>0</v>
      </c>
      <c r="AF331" s="1163"/>
      <c r="AG331" s="1163">
        <v>0</v>
      </c>
      <c r="AH331" s="1163"/>
      <c r="AI331" s="1163">
        <v>200</v>
      </c>
      <c r="AJ331" s="1164"/>
      <c r="AK331" s="1164"/>
      <c r="AL331" s="1165"/>
    </row>
    <row r="332" spans="1:38" hidden="1" outlineLevel="2" x14ac:dyDescent="0.3">
      <c r="A332" s="1158"/>
      <c r="B332" s="1166"/>
      <c r="C332" s="1167"/>
      <c r="D332" s="1168"/>
      <c r="E332" s="1169"/>
      <c r="F332" s="1170"/>
      <c r="G332" s="1170"/>
      <c r="H332" s="1170"/>
      <c r="I332" s="1170"/>
      <c r="J332" s="1170"/>
      <c r="K332" s="1170"/>
      <c r="L332" s="1170"/>
      <c r="M332" s="1170"/>
      <c r="N332" s="1170"/>
      <c r="O332" s="1170"/>
      <c r="P332" s="1170"/>
      <c r="Q332" s="1170"/>
      <c r="R332" s="1170"/>
      <c r="S332" s="1170"/>
      <c r="T332" s="1170"/>
      <c r="U332" s="1170"/>
      <c r="V332" s="1170"/>
      <c r="W332" s="1170"/>
      <c r="X332" s="1170"/>
      <c r="Y332" s="1170"/>
      <c r="Z332" s="1170"/>
      <c r="AA332" s="1170"/>
      <c r="AB332" s="1170"/>
      <c r="AC332" s="1170"/>
      <c r="AD332" s="1170"/>
      <c r="AE332" s="1170"/>
      <c r="AF332" s="1170"/>
      <c r="AG332" s="1170"/>
      <c r="AH332" s="1170"/>
      <c r="AI332" s="1170"/>
      <c r="AJ332" s="1171"/>
      <c r="AK332" s="1171"/>
      <c r="AL332" s="1172"/>
    </row>
    <row r="333" spans="1:38" hidden="1" outlineLevel="2" x14ac:dyDescent="0.3">
      <c r="A333" s="1158"/>
      <c r="B333" s="1166"/>
      <c r="C333" s="1167"/>
      <c r="D333" s="1168"/>
      <c r="E333" s="1169"/>
      <c r="F333" s="1170"/>
      <c r="G333" s="1170"/>
      <c r="H333" s="1170"/>
      <c r="I333" s="1170"/>
      <c r="J333" s="1170"/>
      <c r="K333" s="1170"/>
      <c r="L333" s="1170"/>
      <c r="M333" s="1170"/>
      <c r="N333" s="1170"/>
      <c r="O333" s="1170"/>
      <c r="P333" s="1170"/>
      <c r="Q333" s="1170"/>
      <c r="R333" s="1170"/>
      <c r="S333" s="1170"/>
      <c r="T333" s="1170"/>
      <c r="U333" s="1170"/>
      <c r="V333" s="1170"/>
      <c r="W333" s="1170"/>
      <c r="X333" s="1170"/>
      <c r="Y333" s="1170"/>
      <c r="Z333" s="1170"/>
      <c r="AA333" s="1170"/>
      <c r="AB333" s="1170"/>
      <c r="AC333" s="1170"/>
      <c r="AD333" s="1170"/>
      <c r="AE333" s="1170"/>
      <c r="AF333" s="1170"/>
      <c r="AG333" s="1170"/>
      <c r="AH333" s="1170"/>
      <c r="AI333" s="1170"/>
      <c r="AJ333" s="1171"/>
      <c r="AK333" s="1171"/>
      <c r="AL333" s="1172"/>
    </row>
    <row r="334" spans="1:38" hidden="1" outlineLevel="2" x14ac:dyDescent="0.3">
      <c r="A334" s="1158"/>
      <c r="B334" s="1166"/>
      <c r="C334" s="1167"/>
      <c r="D334" s="1168"/>
      <c r="E334" s="1169"/>
      <c r="F334" s="1170"/>
      <c r="G334" s="1170"/>
      <c r="H334" s="1170"/>
      <c r="I334" s="1170"/>
      <c r="J334" s="1170"/>
      <c r="K334" s="1170"/>
      <c r="L334" s="1170"/>
      <c r="M334" s="1170"/>
      <c r="N334" s="1170"/>
      <c r="O334" s="1170"/>
      <c r="P334" s="1170"/>
      <c r="Q334" s="1170"/>
      <c r="R334" s="1170"/>
      <c r="S334" s="1170"/>
      <c r="T334" s="1170"/>
      <c r="U334" s="1170"/>
      <c r="V334" s="1170"/>
      <c r="W334" s="1170"/>
      <c r="X334" s="1170"/>
      <c r="Y334" s="1170"/>
      <c r="Z334" s="1170"/>
      <c r="AA334" s="1170"/>
      <c r="AB334" s="1170"/>
      <c r="AC334" s="1170"/>
      <c r="AD334" s="1170"/>
      <c r="AE334" s="1170"/>
      <c r="AF334" s="1170"/>
      <c r="AG334" s="1170"/>
      <c r="AH334" s="1170"/>
      <c r="AI334" s="1170"/>
      <c r="AJ334" s="1171"/>
      <c r="AK334" s="1171"/>
      <c r="AL334" s="1172"/>
    </row>
    <row r="335" spans="1:38" hidden="1" outlineLevel="2" x14ac:dyDescent="0.3">
      <c r="A335" s="1158"/>
      <c r="B335" s="1166"/>
      <c r="C335" s="1167"/>
      <c r="D335" s="1168"/>
      <c r="E335" s="1169"/>
      <c r="F335" s="1170"/>
      <c r="G335" s="1170"/>
      <c r="H335" s="1170"/>
      <c r="I335" s="1170"/>
      <c r="J335" s="1170"/>
      <c r="K335" s="1170"/>
      <c r="L335" s="1170"/>
      <c r="M335" s="1170"/>
      <c r="N335" s="1170"/>
      <c r="O335" s="1170"/>
      <c r="P335" s="1170"/>
      <c r="Q335" s="1170"/>
      <c r="R335" s="1170"/>
      <c r="S335" s="1170"/>
      <c r="T335" s="1170"/>
      <c r="U335" s="1170"/>
      <c r="V335" s="1170"/>
      <c r="W335" s="1170"/>
      <c r="X335" s="1170"/>
      <c r="Y335" s="1170"/>
      <c r="Z335" s="1170"/>
      <c r="AA335" s="1170"/>
      <c r="AB335" s="1170"/>
      <c r="AC335" s="1170"/>
      <c r="AD335" s="1170"/>
      <c r="AE335" s="1170"/>
      <c r="AF335" s="1170"/>
      <c r="AG335" s="1170"/>
      <c r="AH335" s="1170"/>
      <c r="AI335" s="1170"/>
      <c r="AJ335" s="1171"/>
      <c r="AK335" s="1171"/>
      <c r="AL335" s="1172"/>
    </row>
    <row r="336" spans="1:38" hidden="1" outlineLevel="2" x14ac:dyDescent="0.3">
      <c r="A336" s="1158"/>
      <c r="B336" s="1166"/>
      <c r="C336" s="1167"/>
      <c r="D336" s="1168"/>
      <c r="E336" s="1169"/>
      <c r="F336" s="1170"/>
      <c r="G336" s="1170"/>
      <c r="H336" s="1170"/>
      <c r="I336" s="1170"/>
      <c r="J336" s="1170"/>
      <c r="K336" s="1170"/>
      <c r="L336" s="1170"/>
      <c r="M336" s="1170"/>
      <c r="N336" s="1170"/>
      <c r="O336" s="1170"/>
      <c r="P336" s="1170"/>
      <c r="Q336" s="1170"/>
      <c r="R336" s="1170"/>
      <c r="S336" s="1170"/>
      <c r="T336" s="1170"/>
      <c r="U336" s="1170"/>
      <c r="V336" s="1170"/>
      <c r="W336" s="1170"/>
      <c r="X336" s="1170"/>
      <c r="Y336" s="1170"/>
      <c r="Z336" s="1170"/>
      <c r="AA336" s="1170"/>
      <c r="AB336" s="1170"/>
      <c r="AC336" s="1170"/>
      <c r="AD336" s="1170"/>
      <c r="AE336" s="1170"/>
      <c r="AF336" s="1170"/>
      <c r="AG336" s="1170"/>
      <c r="AH336" s="1170"/>
      <c r="AI336" s="1170"/>
      <c r="AJ336" s="1171"/>
      <c r="AK336" s="1171"/>
      <c r="AL336" s="1172"/>
    </row>
    <row r="337" spans="1:38" hidden="1" outlineLevel="2" x14ac:dyDescent="0.3">
      <c r="A337" s="1158"/>
      <c r="B337" s="1166"/>
      <c r="C337" s="1167"/>
      <c r="D337" s="1168"/>
      <c r="E337" s="1169"/>
      <c r="F337" s="1170"/>
      <c r="G337" s="1170"/>
      <c r="H337" s="1170"/>
      <c r="I337" s="1170"/>
      <c r="J337" s="1170"/>
      <c r="K337" s="1170"/>
      <c r="L337" s="1170"/>
      <c r="M337" s="1170"/>
      <c r="N337" s="1170"/>
      <c r="O337" s="1170"/>
      <c r="P337" s="1170"/>
      <c r="Q337" s="1170"/>
      <c r="R337" s="1170"/>
      <c r="S337" s="1170"/>
      <c r="T337" s="1170"/>
      <c r="U337" s="1170"/>
      <c r="V337" s="1170"/>
      <c r="W337" s="1170"/>
      <c r="X337" s="1170"/>
      <c r="Y337" s="1170"/>
      <c r="Z337" s="1170"/>
      <c r="AA337" s="1170"/>
      <c r="AB337" s="1170"/>
      <c r="AC337" s="1170"/>
      <c r="AD337" s="1170"/>
      <c r="AE337" s="1170"/>
      <c r="AF337" s="1170"/>
      <c r="AG337" s="1170"/>
      <c r="AH337" s="1170"/>
      <c r="AI337" s="1170"/>
      <c r="AJ337" s="1171"/>
      <c r="AK337" s="1171"/>
      <c r="AL337" s="1172"/>
    </row>
    <row r="338" spans="1:38" ht="15" outlineLevel="1" collapsed="1" thickBot="1" x14ac:dyDescent="0.35">
      <c r="A338" s="1158"/>
      <c r="B338" s="1173" t="s">
        <v>550</v>
      </c>
      <c r="C338" s="1174"/>
      <c r="D338" s="1175"/>
      <c r="E338" s="1176">
        <f>SUBTOTAL(9,E329:E331)</f>
        <v>0</v>
      </c>
      <c r="F338" s="1177"/>
      <c r="G338" s="1177">
        <f>SUBTOTAL(9,G329:G331)</f>
        <v>200</v>
      </c>
      <c r="H338" s="1177"/>
      <c r="I338" s="1177">
        <f>SUBTOTAL(9,I329:I331)</f>
        <v>500</v>
      </c>
      <c r="J338" s="1177"/>
      <c r="K338" s="1177">
        <f>SUBTOTAL(9,K329:K331)</f>
        <v>0</v>
      </c>
      <c r="L338" s="1177"/>
      <c r="M338" s="1177">
        <f>SUBTOTAL(9,M329:M331)</f>
        <v>400</v>
      </c>
      <c r="N338" s="1177"/>
      <c r="O338" s="1177">
        <f>SUBTOTAL(9,O329:O331)</f>
        <v>500</v>
      </c>
      <c r="P338" s="1177"/>
      <c r="Q338" s="1177">
        <f>SUBTOTAL(9,Q329:Q331)</f>
        <v>200</v>
      </c>
      <c r="R338" s="1177"/>
      <c r="S338" s="1177">
        <f>SUBTOTAL(9,S329:S331)</f>
        <v>100</v>
      </c>
      <c r="T338" s="1177"/>
      <c r="U338" s="1177">
        <f>SUBTOTAL(9,U329:U331)</f>
        <v>0</v>
      </c>
      <c r="V338" s="1177"/>
      <c r="W338" s="1177">
        <f>SUBTOTAL(9,W329:W331)</f>
        <v>450</v>
      </c>
      <c r="X338" s="1177"/>
      <c r="Y338" s="1177">
        <f>SUBTOTAL(9,Y329:Y331)</f>
        <v>100</v>
      </c>
      <c r="Z338" s="1177"/>
      <c r="AA338" s="1177">
        <f>SUBTOTAL(9,AA329:AA331)</f>
        <v>30</v>
      </c>
      <c r="AB338" s="1177"/>
      <c r="AC338" s="1177">
        <f>SUBTOTAL(9,AC329:AC331)</f>
        <v>160</v>
      </c>
      <c r="AD338" s="1177"/>
      <c r="AE338" s="1177">
        <f>SUBTOTAL(9,AE329:AE331)</f>
        <v>1050</v>
      </c>
      <c r="AF338" s="1177"/>
      <c r="AG338" s="1177">
        <f>SUBTOTAL(9,AG329:AG331)</f>
        <v>100</v>
      </c>
      <c r="AH338" s="1177"/>
      <c r="AI338" s="1177">
        <f>SUBTOTAL(9,AI329:AI331)</f>
        <v>200</v>
      </c>
      <c r="AJ338" s="1178"/>
      <c r="AK338" s="1178"/>
      <c r="AL338" s="1179"/>
    </row>
    <row r="339" spans="1:38" ht="18" outlineLevel="1" x14ac:dyDescent="0.35">
      <c r="A339" s="1180" t="s">
        <v>1464</v>
      </c>
      <c r="B339" s="1181" t="s">
        <v>625</v>
      </c>
      <c r="C339" s="1182"/>
      <c r="D339" s="1183"/>
      <c r="E339" s="1184"/>
      <c r="F339" s="1185"/>
      <c r="G339" s="1185"/>
      <c r="H339" s="1185"/>
      <c r="I339" s="1185"/>
      <c r="J339" s="1185"/>
      <c r="K339" s="1185"/>
      <c r="L339" s="1185"/>
      <c r="M339" s="1185"/>
      <c r="N339" s="1185"/>
      <c r="O339" s="1185"/>
      <c r="P339" s="1185"/>
      <c r="Q339" s="1185"/>
      <c r="R339" s="1185"/>
      <c r="S339" s="1185"/>
      <c r="T339" s="1185"/>
      <c r="U339" s="1185"/>
      <c r="V339" s="1185"/>
      <c r="W339" s="1185"/>
      <c r="X339" s="1185"/>
      <c r="Y339" s="1185"/>
      <c r="Z339" s="1185"/>
      <c r="AA339" s="1185"/>
      <c r="AB339" s="1185"/>
      <c r="AC339" s="1185"/>
      <c r="AD339" s="1185"/>
      <c r="AE339" s="1185"/>
      <c r="AF339" s="1185"/>
      <c r="AG339" s="1185"/>
      <c r="AH339" s="1185"/>
      <c r="AI339" s="1185"/>
      <c r="AJ339" s="1186"/>
      <c r="AK339" s="1186"/>
      <c r="AL339" s="1187"/>
    </row>
    <row r="340" spans="1:38" hidden="1" outlineLevel="2" x14ac:dyDescent="0.3">
      <c r="A340" s="1188"/>
      <c r="B340" s="1189" t="s">
        <v>1465</v>
      </c>
      <c r="C340" s="1190"/>
      <c r="D340" s="1191"/>
      <c r="E340" s="1192">
        <v>0</v>
      </c>
      <c r="F340" s="1193"/>
      <c r="G340" s="1193">
        <v>0</v>
      </c>
      <c r="H340" s="1193"/>
      <c r="I340" s="1193">
        <v>0</v>
      </c>
      <c r="J340" s="1193"/>
      <c r="K340" s="1193">
        <v>0</v>
      </c>
      <c r="L340" s="1193"/>
      <c r="M340" s="1193">
        <v>300</v>
      </c>
      <c r="N340" s="1193"/>
      <c r="O340" s="1193">
        <v>500</v>
      </c>
      <c r="P340" s="1193"/>
      <c r="Q340" s="1193">
        <v>200</v>
      </c>
      <c r="R340" s="1193"/>
      <c r="S340" s="1193">
        <v>0</v>
      </c>
      <c r="T340" s="1193"/>
      <c r="U340" s="1193">
        <v>0</v>
      </c>
      <c r="V340" s="1193"/>
      <c r="W340" s="1193">
        <v>0</v>
      </c>
      <c r="X340" s="1193"/>
      <c r="Y340" s="1193">
        <v>0</v>
      </c>
      <c r="Z340" s="1193"/>
      <c r="AA340" s="1193">
        <v>0</v>
      </c>
      <c r="AB340" s="1193"/>
      <c r="AC340" s="1193">
        <v>0</v>
      </c>
      <c r="AD340" s="1193"/>
      <c r="AE340" s="1193">
        <v>0</v>
      </c>
      <c r="AF340" s="1193"/>
      <c r="AG340" s="1193">
        <v>0</v>
      </c>
      <c r="AH340" s="1193"/>
      <c r="AI340" s="1193">
        <v>0</v>
      </c>
      <c r="AJ340" s="1194"/>
      <c r="AK340" s="1194"/>
      <c r="AL340" s="1195"/>
    </row>
    <row r="341" spans="1:38" hidden="1" outlineLevel="2" x14ac:dyDescent="0.3">
      <c r="A341" s="1188"/>
      <c r="B341" s="1189" t="s">
        <v>1466</v>
      </c>
      <c r="C341" s="1190"/>
      <c r="D341" s="1191"/>
      <c r="E341" s="1192">
        <v>0</v>
      </c>
      <c r="F341" s="1193"/>
      <c r="G341" s="1193">
        <v>0</v>
      </c>
      <c r="H341" s="1193"/>
      <c r="I341" s="1193">
        <v>0</v>
      </c>
      <c r="J341" s="1193"/>
      <c r="K341" s="1193">
        <v>0</v>
      </c>
      <c r="L341" s="1193"/>
      <c r="M341" s="1193">
        <v>300</v>
      </c>
      <c r="N341" s="1193"/>
      <c r="O341" s="1193">
        <v>500</v>
      </c>
      <c r="P341" s="1193"/>
      <c r="Q341" s="1193">
        <v>200</v>
      </c>
      <c r="R341" s="1193"/>
      <c r="S341" s="1193">
        <v>0</v>
      </c>
      <c r="T341" s="1193"/>
      <c r="U341" s="1193">
        <v>0</v>
      </c>
      <c r="V341" s="1193"/>
      <c r="W341" s="1193">
        <v>0</v>
      </c>
      <c r="X341" s="1193"/>
      <c r="Y341" s="1193">
        <v>0</v>
      </c>
      <c r="Z341" s="1193"/>
      <c r="AA341" s="1193">
        <v>0</v>
      </c>
      <c r="AB341" s="1193"/>
      <c r="AC341" s="1193">
        <v>0</v>
      </c>
      <c r="AD341" s="1193"/>
      <c r="AE341" s="1193">
        <v>0</v>
      </c>
      <c r="AF341" s="1193"/>
      <c r="AG341" s="1193">
        <v>0</v>
      </c>
      <c r="AH341" s="1193"/>
      <c r="AI341" s="1193">
        <v>0</v>
      </c>
      <c r="AJ341" s="1194"/>
      <c r="AK341" s="1194"/>
      <c r="AL341" s="1195"/>
    </row>
    <row r="342" spans="1:38" hidden="1" outlineLevel="2" x14ac:dyDescent="0.3">
      <c r="A342" s="1188"/>
      <c r="B342" s="1196"/>
      <c r="C342" s="1197"/>
      <c r="D342" s="1198"/>
      <c r="E342" s="1199"/>
      <c r="F342" s="1200"/>
      <c r="G342" s="1200"/>
      <c r="H342" s="1200"/>
      <c r="I342" s="1200"/>
      <c r="J342" s="1200"/>
      <c r="K342" s="1200"/>
      <c r="L342" s="1200"/>
      <c r="M342" s="1200"/>
      <c r="N342" s="1200"/>
      <c r="O342" s="1200"/>
      <c r="P342" s="1200"/>
      <c r="Q342" s="1200"/>
      <c r="R342" s="1200"/>
      <c r="S342" s="1200"/>
      <c r="T342" s="1200"/>
      <c r="U342" s="1200"/>
      <c r="V342" s="1200"/>
      <c r="W342" s="1200"/>
      <c r="X342" s="1200"/>
      <c r="Y342" s="1200"/>
      <c r="Z342" s="1200"/>
      <c r="AA342" s="1200"/>
      <c r="AB342" s="1200"/>
      <c r="AC342" s="1200"/>
      <c r="AD342" s="1200"/>
      <c r="AE342" s="1200"/>
      <c r="AF342" s="1200"/>
      <c r="AG342" s="1200"/>
      <c r="AH342" s="1200"/>
      <c r="AI342" s="1200"/>
      <c r="AJ342" s="1201"/>
      <c r="AK342" s="1201"/>
      <c r="AL342" s="1202"/>
    </row>
    <row r="343" spans="1:38" hidden="1" outlineLevel="2" x14ac:dyDescent="0.3">
      <c r="A343" s="1188"/>
      <c r="B343" s="1196"/>
      <c r="C343" s="1197"/>
      <c r="D343" s="1198"/>
      <c r="E343" s="1199"/>
      <c r="F343" s="1200"/>
      <c r="G343" s="1200"/>
      <c r="H343" s="1200"/>
      <c r="I343" s="1200"/>
      <c r="J343" s="1200"/>
      <c r="K343" s="1200"/>
      <c r="L343" s="1200"/>
      <c r="M343" s="1200"/>
      <c r="N343" s="1200"/>
      <c r="O343" s="1200"/>
      <c r="P343" s="1200"/>
      <c r="Q343" s="1200"/>
      <c r="R343" s="1200"/>
      <c r="S343" s="1200"/>
      <c r="T343" s="1200"/>
      <c r="U343" s="1200"/>
      <c r="V343" s="1200"/>
      <c r="W343" s="1200"/>
      <c r="X343" s="1200"/>
      <c r="Y343" s="1200"/>
      <c r="Z343" s="1200"/>
      <c r="AA343" s="1200"/>
      <c r="AB343" s="1200"/>
      <c r="AC343" s="1200"/>
      <c r="AD343" s="1200"/>
      <c r="AE343" s="1200"/>
      <c r="AF343" s="1200"/>
      <c r="AG343" s="1200"/>
      <c r="AH343" s="1200"/>
      <c r="AI343" s="1200"/>
      <c r="AJ343" s="1201"/>
      <c r="AK343" s="1201"/>
      <c r="AL343" s="1202"/>
    </row>
    <row r="344" spans="1:38" hidden="1" outlineLevel="2" x14ac:dyDescent="0.3">
      <c r="A344" s="1188"/>
      <c r="B344" s="1196"/>
      <c r="C344" s="1197"/>
      <c r="D344" s="1198"/>
      <c r="E344" s="1199"/>
      <c r="F344" s="1200"/>
      <c r="G344" s="1200"/>
      <c r="H344" s="1200"/>
      <c r="I344" s="1200"/>
      <c r="J344" s="1200"/>
      <c r="K344" s="1200"/>
      <c r="L344" s="1200"/>
      <c r="M344" s="1200"/>
      <c r="N344" s="1200"/>
      <c r="O344" s="1200"/>
      <c r="P344" s="1200"/>
      <c r="Q344" s="1200"/>
      <c r="R344" s="1200"/>
      <c r="S344" s="1200"/>
      <c r="T344" s="1200"/>
      <c r="U344" s="1200"/>
      <c r="V344" s="1200"/>
      <c r="W344" s="1200"/>
      <c r="X344" s="1200"/>
      <c r="Y344" s="1200"/>
      <c r="Z344" s="1200"/>
      <c r="AA344" s="1200"/>
      <c r="AB344" s="1200"/>
      <c r="AC344" s="1200"/>
      <c r="AD344" s="1200"/>
      <c r="AE344" s="1200"/>
      <c r="AF344" s="1200"/>
      <c r="AG344" s="1200"/>
      <c r="AH344" s="1200"/>
      <c r="AI344" s="1200"/>
      <c r="AJ344" s="1201"/>
      <c r="AK344" s="1201"/>
      <c r="AL344" s="1202"/>
    </row>
    <row r="345" spans="1:38" hidden="1" outlineLevel="2" x14ac:dyDescent="0.3">
      <c r="A345" s="1188"/>
      <c r="B345" s="1196"/>
      <c r="C345" s="1197"/>
      <c r="D345" s="1198"/>
      <c r="E345" s="1199"/>
      <c r="F345" s="1200"/>
      <c r="G345" s="1200"/>
      <c r="H345" s="1200"/>
      <c r="I345" s="1200"/>
      <c r="J345" s="1200"/>
      <c r="K345" s="1200"/>
      <c r="L345" s="1200"/>
      <c r="M345" s="1200"/>
      <c r="N345" s="1200"/>
      <c r="O345" s="1200"/>
      <c r="P345" s="1200"/>
      <c r="Q345" s="1200"/>
      <c r="R345" s="1200"/>
      <c r="S345" s="1200"/>
      <c r="T345" s="1200"/>
      <c r="U345" s="1200"/>
      <c r="V345" s="1200"/>
      <c r="W345" s="1200"/>
      <c r="X345" s="1200"/>
      <c r="Y345" s="1200"/>
      <c r="Z345" s="1200"/>
      <c r="AA345" s="1200"/>
      <c r="AB345" s="1200"/>
      <c r="AC345" s="1200"/>
      <c r="AD345" s="1200"/>
      <c r="AE345" s="1200"/>
      <c r="AF345" s="1200"/>
      <c r="AG345" s="1200"/>
      <c r="AH345" s="1200"/>
      <c r="AI345" s="1200"/>
      <c r="AJ345" s="1201"/>
      <c r="AK345" s="1201"/>
      <c r="AL345" s="1202"/>
    </row>
    <row r="346" spans="1:38" hidden="1" outlineLevel="2" x14ac:dyDescent="0.3">
      <c r="A346" s="1188"/>
      <c r="B346" s="1196"/>
      <c r="C346" s="1197"/>
      <c r="D346" s="1198"/>
      <c r="E346" s="1199"/>
      <c r="F346" s="1200"/>
      <c r="G346" s="1200"/>
      <c r="H346" s="1200"/>
      <c r="I346" s="1200"/>
      <c r="J346" s="1200"/>
      <c r="K346" s="1200"/>
      <c r="L346" s="1200"/>
      <c r="M346" s="1200"/>
      <c r="N346" s="1200"/>
      <c r="O346" s="1200"/>
      <c r="P346" s="1200"/>
      <c r="Q346" s="1200"/>
      <c r="R346" s="1200"/>
      <c r="S346" s="1200"/>
      <c r="T346" s="1200"/>
      <c r="U346" s="1200"/>
      <c r="V346" s="1200"/>
      <c r="W346" s="1200"/>
      <c r="X346" s="1200"/>
      <c r="Y346" s="1200"/>
      <c r="Z346" s="1200"/>
      <c r="AA346" s="1200"/>
      <c r="AB346" s="1200"/>
      <c r="AC346" s="1200"/>
      <c r="AD346" s="1200"/>
      <c r="AE346" s="1200"/>
      <c r="AF346" s="1200"/>
      <c r="AG346" s="1200"/>
      <c r="AH346" s="1200"/>
      <c r="AI346" s="1200"/>
      <c r="AJ346" s="1201"/>
      <c r="AK346" s="1201"/>
      <c r="AL346" s="1202"/>
    </row>
    <row r="347" spans="1:38" ht="15" outlineLevel="1" collapsed="1" thickBot="1" x14ac:dyDescent="0.35">
      <c r="A347" s="1188"/>
      <c r="B347" s="1203" t="s">
        <v>550</v>
      </c>
      <c r="C347" s="1204"/>
      <c r="D347" s="1205"/>
      <c r="E347" s="1206">
        <f>SUBTOTAL(9,E339:E341)</f>
        <v>0</v>
      </c>
      <c r="F347" s="1207"/>
      <c r="G347" s="1207">
        <f>SUBTOTAL(9,G339:G341)</f>
        <v>0</v>
      </c>
      <c r="H347" s="1207"/>
      <c r="I347" s="1207">
        <f>SUBTOTAL(9,I339:I341)</f>
        <v>0</v>
      </c>
      <c r="J347" s="1207"/>
      <c r="K347" s="1207">
        <f>SUBTOTAL(9,K339:K341)</f>
        <v>0</v>
      </c>
      <c r="L347" s="1207"/>
      <c r="M347" s="1207">
        <f>SUBTOTAL(9,M339:M341)</f>
        <v>600</v>
      </c>
      <c r="N347" s="1207"/>
      <c r="O347" s="1207">
        <f>SUBTOTAL(9,O339:O341)</f>
        <v>1000</v>
      </c>
      <c r="P347" s="1207"/>
      <c r="Q347" s="1207">
        <f>SUBTOTAL(9,Q339:Q341)</f>
        <v>400</v>
      </c>
      <c r="R347" s="1207"/>
      <c r="S347" s="1207">
        <f>SUBTOTAL(9,S339:S341)</f>
        <v>0</v>
      </c>
      <c r="T347" s="1207"/>
      <c r="U347" s="1207">
        <f>SUBTOTAL(9,U339:U341)</f>
        <v>0</v>
      </c>
      <c r="V347" s="1207"/>
      <c r="W347" s="1207">
        <f>SUBTOTAL(9,W339:W341)</f>
        <v>0</v>
      </c>
      <c r="X347" s="1207"/>
      <c r="Y347" s="1207">
        <f>SUBTOTAL(9,Y339:Y341)</f>
        <v>0</v>
      </c>
      <c r="Z347" s="1207"/>
      <c r="AA347" s="1207">
        <f>SUBTOTAL(9,AA339:AA341)</f>
        <v>0</v>
      </c>
      <c r="AB347" s="1207"/>
      <c r="AC347" s="1207">
        <f>SUBTOTAL(9,AC339:AC341)</f>
        <v>0</v>
      </c>
      <c r="AD347" s="1207"/>
      <c r="AE347" s="1207">
        <f>SUBTOTAL(9,AE339:AE341)</f>
        <v>0</v>
      </c>
      <c r="AF347" s="1207"/>
      <c r="AG347" s="1207">
        <f>SUBTOTAL(9,AG339:AG341)</f>
        <v>0</v>
      </c>
      <c r="AH347" s="1207"/>
      <c r="AI347" s="1207">
        <f>SUBTOTAL(9,AI339:AI341)</f>
        <v>0</v>
      </c>
      <c r="AJ347" s="1208"/>
      <c r="AK347" s="1208"/>
      <c r="AL347" s="1209"/>
    </row>
    <row r="348" spans="1:38" x14ac:dyDescent="0.3">
      <c r="A348" s="98"/>
      <c r="B348" s="660"/>
      <c r="C348" s="660"/>
      <c r="D348" s="660"/>
      <c r="E348" s="941">
        <f>SUM(E347,E338,E327)</f>
        <v>46150</v>
      </c>
      <c r="F348" s="941"/>
      <c r="G348" s="941">
        <f>SUM(G347,G338,G327)</f>
        <v>200</v>
      </c>
      <c r="H348" s="941"/>
      <c r="I348" s="941">
        <f>SUM(I347,I338,I327)</f>
        <v>500</v>
      </c>
      <c r="J348" s="941"/>
      <c r="K348" s="941">
        <v>9600</v>
      </c>
      <c r="L348" s="941"/>
      <c r="M348" s="941">
        <f>SUM(M347,M338,M327)</f>
        <v>1000</v>
      </c>
      <c r="N348" s="941"/>
      <c r="O348" s="941">
        <f>SUM(O347,O338,O327)</f>
        <v>1500</v>
      </c>
      <c r="P348" s="941"/>
      <c r="Q348" s="941">
        <f>SUM(Q347,Q338,Q327)</f>
        <v>600</v>
      </c>
      <c r="R348" s="941"/>
      <c r="S348" s="941">
        <f>SUM(S347,S338,S327)</f>
        <v>100</v>
      </c>
      <c r="T348" s="941"/>
      <c r="U348" s="941">
        <f>SUM(U347,U338,U327)</f>
        <v>40000</v>
      </c>
      <c r="V348" s="941"/>
      <c r="W348" s="941">
        <f>SUM(W347,W338,W327)</f>
        <v>450</v>
      </c>
      <c r="X348" s="941"/>
      <c r="Y348" s="941">
        <f>SUM(Y347,Y338,Y327)</f>
        <v>100</v>
      </c>
      <c r="Z348" s="941"/>
      <c r="AA348" s="941">
        <f>SUM(AA347,AA338,AA327)</f>
        <v>30</v>
      </c>
      <c r="AB348" s="941"/>
      <c r="AC348" s="941">
        <f>SUM(AC347,AC338,AC327)</f>
        <v>160</v>
      </c>
      <c r="AD348" s="941"/>
      <c r="AE348" s="941">
        <f>SUM(AE347,AE338,AE327)</f>
        <v>3825</v>
      </c>
      <c r="AF348" s="941"/>
      <c r="AG348" s="941">
        <f>SUM(AG347,AG338,AG327)</f>
        <v>1439.9999999999989</v>
      </c>
      <c r="AH348" s="941"/>
      <c r="AI348" s="941">
        <f>SUM(AI347,AI338,AI327)</f>
        <v>200</v>
      </c>
      <c r="AJ348" s="941"/>
      <c r="AK348" s="941"/>
      <c r="AL348" s="941">
        <f>SUM(K348:AI348)-SUM(E348:I348)</f>
        <v>12155</v>
      </c>
    </row>
  </sheetData>
  <mergeCells count="1">
    <mergeCell ref="A32:D32"/>
  </mergeCells>
  <hyperlinks>
    <hyperlink ref="B11" location="Wiwi_AE_var" display="AE variabel" xr:uid="{00000000-0004-0000-0700-000000000000}"/>
    <hyperlink ref="B12" location="Wiwi_RK_Int." display="Fahrtkosten und Verpflegungspauschalen" xr:uid="{00000000-0004-0000-0700-000001000000}"/>
    <hyperlink ref="B13" location="Wiwi_R_U_Int." display="Raum- und Unterkunftskosten" xr:uid="{00000000-0004-0000-0700-000002000000}"/>
    <hyperlink ref="B14" location="Wiwi_Bew.Int." display="Bewirtung und Repräsentation intern" xr:uid="{00000000-0004-0000-0700-000003000000}"/>
    <hyperlink ref="B15" location="Wiwi_Hon_I" display="Honorare Fachseminare" xr:uid="{00000000-0004-0000-0700-000004000000}"/>
    <hyperlink ref="B16" location="Wiwi_Hon_II" display="Andere Honorare" xr:uid="{00000000-0004-0000-0700-000005000000}"/>
    <hyperlink ref="B17" location="Wiwi_R_U_Ext." display="Ext. Reisekosten" xr:uid="{00000000-0004-0000-0700-000006000000}"/>
    <hyperlink ref="B18" location="Wiwi_Bew.Ext." display="Bewirtung und Repräsentation extern" xr:uid="{00000000-0004-0000-0700-000007000000}"/>
    <hyperlink ref="B19" location="Wiwi_R_U_Ext." display="Raum- und Unterkunftskosten Seminare und Veranst." xr:uid="{00000000-0004-0000-0700-000008000000}"/>
    <hyperlink ref="B20" location="Wiwi_Druck" display="Druckkosten" xr:uid="{00000000-0004-0000-0700-000009000000}"/>
    <hyperlink ref="B21" location="Wiwi_Sonst." display="Sonstige Kosten (Lizenzen, Allg. Geschäftsbetrieb)" xr:uid="{00000000-0004-0000-0700-00000A000000}"/>
    <hyperlink ref="B22" location="Rechtsk.FSen" display="Rechtsangelegenheiten" xr:uid="{00000000-0004-0000-0700-00000B000000}"/>
    <hyperlink ref="B7" location="Wiwi_Sonst_Einnahmen" display="Sonstige Einnahmen (Vorauszahlungen Bewirtung, Werbung, …)" xr:uid="{00000000-0004-0000-0700-00000C000000}"/>
    <hyperlink ref="B6" location="Wiwi_TN_Beiträge_II" display="Teilnahmebeiträge Veranstaltungen" xr:uid="{00000000-0004-0000-0700-00000D000000}"/>
    <hyperlink ref="B5" location="Wiwi_TN_Beiträge_I" display="Teilnahmebeiträge Seminare" xr:uid="{00000000-0004-0000-0700-00000E000000}"/>
  </hyperlinks>
  <pageMargins left="0.7" right="0.7" top="0.78740157499999996" bottom="0.78740157499999996"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348"/>
  <sheetViews>
    <sheetView zoomScaleNormal="100" workbookViewId="0">
      <selection activeCell="D25" sqref="D25"/>
    </sheetView>
  </sheetViews>
  <sheetFormatPr baseColWidth="10"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1524</v>
      </c>
      <c r="G1" s="1274"/>
      <c r="L1" s="1274"/>
      <c r="N1" s="1274"/>
    </row>
    <row r="2" spans="1:17" ht="23.25" customHeight="1" thickBot="1" x14ac:dyDescent="0.35">
      <c r="G2" s="1274" t="s">
        <v>1517</v>
      </c>
      <c r="L2" s="1274"/>
      <c r="N2" s="1274"/>
    </row>
    <row r="3" spans="1:17" ht="34.5" customHeight="1" thickBot="1" x14ac:dyDescent="0.35">
      <c r="A3" s="1080" t="s">
        <v>1</v>
      </c>
      <c r="B3" s="363" t="s">
        <v>4</v>
      </c>
      <c r="C3" s="1081" t="s">
        <v>717</v>
      </c>
      <c r="D3" s="385" t="s">
        <v>718</v>
      </c>
      <c r="E3" s="1247" t="s">
        <v>1510</v>
      </c>
      <c r="F3" s="1284" t="s">
        <v>1509</v>
      </c>
      <c r="G3" s="1289" t="s">
        <v>1397</v>
      </c>
      <c r="H3" s="1248" t="s">
        <v>1398</v>
      </c>
      <c r="I3" s="1250" t="s">
        <v>1399</v>
      </c>
      <c r="J3" s="1249" t="s">
        <v>1370</v>
      </c>
      <c r="K3" s="1269" t="s">
        <v>1400</v>
      </c>
      <c r="L3" s="1275" t="s">
        <v>719</v>
      </c>
      <c r="M3" s="1299" t="s">
        <v>720</v>
      </c>
      <c r="N3" s="1275" t="s">
        <v>721</v>
      </c>
      <c r="O3" s="233" t="s">
        <v>7</v>
      </c>
      <c r="P3" s="234" t="s">
        <v>722</v>
      </c>
      <c r="Q3" s="667" t="s">
        <v>723</v>
      </c>
    </row>
    <row r="4" spans="1:17" x14ac:dyDescent="0.3">
      <c r="A4" s="191" t="s">
        <v>724</v>
      </c>
      <c r="B4" s="173"/>
      <c r="C4" s="173"/>
      <c r="D4" s="173"/>
      <c r="E4" s="1043"/>
      <c r="F4" s="1285"/>
      <c r="G4" s="1290"/>
      <c r="H4" s="1082"/>
      <c r="I4" s="173"/>
      <c r="J4" s="1083"/>
      <c r="K4" s="52"/>
      <c r="L4" s="1276"/>
      <c r="M4" s="1300"/>
      <c r="N4" s="1306"/>
      <c r="O4" s="174"/>
      <c r="P4" s="50"/>
      <c r="Q4" s="80"/>
    </row>
    <row r="5" spans="1:17" x14ac:dyDescent="0.3">
      <c r="A5" s="175" t="s">
        <v>69</v>
      </c>
      <c r="B5" s="210" t="s">
        <v>650</v>
      </c>
      <c r="C5" s="146"/>
      <c r="D5" s="146"/>
      <c r="E5" s="1253">
        <v>4500</v>
      </c>
      <c r="F5" s="1286">
        <f>E$111</f>
        <v>0</v>
      </c>
      <c r="G5" s="1291"/>
      <c r="H5" s="1084">
        <f>E190</f>
        <v>0</v>
      </c>
      <c r="I5" s="743"/>
      <c r="J5" s="1085">
        <f>E269</f>
        <v>0</v>
      </c>
      <c r="K5" s="1264"/>
      <c r="L5" s="1277"/>
      <c r="M5" s="1301">
        <f>E$348</f>
        <v>0</v>
      </c>
      <c r="N5" s="1307"/>
      <c r="O5" s="743"/>
      <c r="P5" s="176"/>
      <c r="Q5" s="146"/>
    </row>
    <row r="6" spans="1:17" x14ac:dyDescent="0.3">
      <c r="A6" s="175" t="s">
        <v>83</v>
      </c>
      <c r="B6" s="210" t="s">
        <v>651</v>
      </c>
      <c r="C6" s="146"/>
      <c r="D6" s="146"/>
      <c r="E6" s="1245"/>
      <c r="F6" s="1286">
        <f>G$111</f>
        <v>0</v>
      </c>
      <c r="G6" s="1291"/>
      <c r="H6" s="1084">
        <f>G190</f>
        <v>0</v>
      </c>
      <c r="I6" s="743"/>
      <c r="J6" s="1085">
        <f>G269</f>
        <v>0</v>
      </c>
      <c r="K6" s="1264"/>
      <c r="L6" s="1277"/>
      <c r="M6" s="1301">
        <f>G$348</f>
        <v>0</v>
      </c>
      <c r="N6" s="1307"/>
      <c r="O6" s="743"/>
      <c r="P6" s="176"/>
      <c r="Q6" s="146"/>
    </row>
    <row r="7" spans="1:17" ht="15" thickBot="1" x14ac:dyDescent="0.35">
      <c r="A7" s="175" t="s">
        <v>90</v>
      </c>
      <c r="B7" s="210" t="s">
        <v>725</v>
      </c>
      <c r="C7" s="146"/>
      <c r="D7" s="146"/>
      <c r="E7" s="1245"/>
      <c r="F7" s="1286">
        <f>I$111</f>
        <v>0</v>
      </c>
      <c r="G7" s="1291"/>
      <c r="H7" s="1084">
        <f>I190</f>
        <v>0</v>
      </c>
      <c r="I7" s="743"/>
      <c r="J7" s="1085">
        <f>I269</f>
        <v>0</v>
      </c>
      <c r="K7" s="1264"/>
      <c r="L7" s="1277"/>
      <c r="M7" s="1301">
        <f>I$348</f>
        <v>0</v>
      </c>
      <c r="N7" s="1307"/>
      <c r="O7" s="743"/>
      <c r="P7" s="176"/>
      <c r="Q7" s="146"/>
    </row>
    <row r="8" spans="1:17" ht="15" thickBot="1" x14ac:dyDescent="0.35">
      <c r="A8" s="177"/>
      <c r="B8" s="178"/>
      <c r="C8" s="178"/>
      <c r="D8" s="178" t="s">
        <v>556</v>
      </c>
      <c r="E8" s="1086">
        <f t="shared" ref="E8:K8" si="0">SUBTOTAL(9,E5:E7)</f>
        <v>4500</v>
      </c>
      <c r="F8" s="1086">
        <f t="shared" si="0"/>
        <v>0</v>
      </c>
      <c r="G8" s="1292">
        <f t="shared" si="0"/>
        <v>0</v>
      </c>
      <c r="H8" s="1086">
        <f t="shared" si="0"/>
        <v>0</v>
      </c>
      <c r="I8" s="1087">
        <f t="shared" si="0"/>
        <v>0</v>
      </c>
      <c r="J8" s="1088">
        <f t="shared" si="0"/>
        <v>0</v>
      </c>
      <c r="K8" s="1270">
        <f t="shared" si="0"/>
        <v>0</v>
      </c>
      <c r="L8" s="1278">
        <f>SUBTOTAL(9,L5:L7)</f>
        <v>0</v>
      </c>
      <c r="M8" s="1302">
        <f>SUBTOTAL(9,M5:M7)</f>
        <v>0</v>
      </c>
      <c r="N8" s="1278">
        <f>SUBTOTAL(9,N5:N7)</f>
        <v>0</v>
      </c>
      <c r="O8" s="167">
        <f>SUBTOTAL(9,O5:O7)</f>
        <v>0</v>
      </c>
      <c r="P8" s="179"/>
      <c r="Q8" s="659"/>
    </row>
    <row r="9" spans="1:17" x14ac:dyDescent="0.3">
      <c r="A9" s="180" t="s">
        <v>119</v>
      </c>
      <c r="B9" s="181"/>
      <c r="C9" s="181"/>
      <c r="D9" s="181"/>
      <c r="E9" s="1028"/>
      <c r="F9" s="1287"/>
      <c r="G9" s="1293"/>
      <c r="H9" s="1089"/>
      <c r="I9" s="181"/>
      <c r="J9" s="1090"/>
      <c r="K9" s="1271"/>
      <c r="L9" s="1279"/>
      <c r="M9" s="1303"/>
      <c r="N9" s="1279"/>
      <c r="O9" s="181"/>
      <c r="P9" s="182"/>
      <c r="Q9" s="146"/>
    </row>
    <row r="10" spans="1:17" x14ac:dyDescent="0.3">
      <c r="A10" s="183" t="s">
        <v>134</v>
      </c>
      <c r="B10" s="146" t="s">
        <v>726</v>
      </c>
      <c r="C10" s="146"/>
      <c r="D10" s="146"/>
      <c r="E10" s="1253">
        <v>9600</v>
      </c>
      <c r="F10" s="1286">
        <v>9600</v>
      </c>
      <c r="G10" s="1291">
        <v>9600</v>
      </c>
      <c r="H10" s="1091">
        <v>9600</v>
      </c>
      <c r="I10" s="1092">
        <v>9600</v>
      </c>
      <c r="J10" s="1093">
        <f>800*12</f>
        <v>9600</v>
      </c>
      <c r="K10" s="1272"/>
      <c r="L10" s="1280"/>
      <c r="M10" s="1304">
        <f>800*12</f>
        <v>9600</v>
      </c>
      <c r="N10" s="1308"/>
      <c r="O10" s="743"/>
      <c r="P10" s="176"/>
      <c r="Q10" s="146"/>
    </row>
    <row r="11" spans="1:17" x14ac:dyDescent="0.3">
      <c r="A11" s="183" t="s">
        <v>136</v>
      </c>
      <c r="B11" s="210" t="s">
        <v>727</v>
      </c>
      <c r="C11" s="146"/>
      <c r="D11" s="146"/>
      <c r="E11" s="1253">
        <v>2000</v>
      </c>
      <c r="F11" s="1286">
        <f>M$111</f>
        <v>0</v>
      </c>
      <c r="G11" s="1294"/>
      <c r="H11" s="1091">
        <f>M$190</f>
        <v>0</v>
      </c>
      <c r="I11" s="1092"/>
      <c r="J11" s="1094">
        <f>M$269</f>
        <v>0</v>
      </c>
      <c r="K11" s="116"/>
      <c r="L11" s="1277"/>
      <c r="M11" s="1305">
        <f>M$348</f>
        <v>0</v>
      </c>
      <c r="N11" s="1307"/>
      <c r="O11" s="743"/>
      <c r="P11" s="176"/>
      <c r="Q11" s="146"/>
    </row>
    <row r="12" spans="1:17" x14ac:dyDescent="0.3">
      <c r="A12" s="183" t="s">
        <v>728</v>
      </c>
      <c r="B12" s="210" t="s">
        <v>729</v>
      </c>
      <c r="C12" s="146"/>
      <c r="D12" s="146"/>
      <c r="E12" s="1253">
        <v>2000</v>
      </c>
      <c r="F12" s="1286">
        <f>O$111</f>
        <v>0</v>
      </c>
      <c r="G12" s="1294"/>
      <c r="H12" s="1091">
        <f>O$190</f>
        <v>0</v>
      </c>
      <c r="I12" s="1092"/>
      <c r="J12" s="1094">
        <f>O$269</f>
        <v>0</v>
      </c>
      <c r="K12" s="116"/>
      <c r="L12" s="1277"/>
      <c r="M12" s="1305">
        <f>O$348</f>
        <v>0</v>
      </c>
      <c r="N12" s="1307"/>
      <c r="O12" s="743"/>
      <c r="P12" s="176"/>
      <c r="Q12" s="146"/>
    </row>
    <row r="13" spans="1:17" x14ac:dyDescent="0.3">
      <c r="A13" s="183" t="s">
        <v>266</v>
      </c>
      <c r="B13" s="210" t="s">
        <v>730</v>
      </c>
      <c r="C13" s="184"/>
      <c r="D13" s="184"/>
      <c r="E13" s="1252">
        <v>1500</v>
      </c>
      <c r="F13" s="1286">
        <f>Q$111</f>
        <v>0</v>
      </c>
      <c r="G13" s="1295"/>
      <c r="H13" s="1091">
        <f>Q$190</f>
        <v>0</v>
      </c>
      <c r="I13" s="1095"/>
      <c r="J13" s="1094">
        <f>Q$269</f>
        <v>0</v>
      </c>
      <c r="K13" s="116"/>
      <c r="L13" s="1277"/>
      <c r="M13" s="1305">
        <f>Q$348</f>
        <v>0</v>
      </c>
      <c r="N13" s="1307"/>
      <c r="O13" s="744"/>
      <c r="P13" s="185"/>
      <c r="Q13" s="146"/>
    </row>
    <row r="14" spans="1:17" x14ac:dyDescent="0.3">
      <c r="A14" s="183" t="s">
        <v>292</v>
      </c>
      <c r="B14" s="212" t="s">
        <v>731</v>
      </c>
      <c r="C14" s="80"/>
      <c r="D14" s="80"/>
      <c r="E14" s="1254">
        <v>500</v>
      </c>
      <c r="F14" s="1286">
        <f>S$111</f>
        <v>0</v>
      </c>
      <c r="G14" s="1296"/>
      <c r="H14" s="1091">
        <f>S$190</f>
        <v>0</v>
      </c>
      <c r="I14" s="1096"/>
      <c r="J14" s="1094">
        <f>S$269</f>
        <v>0</v>
      </c>
      <c r="K14" s="116"/>
      <c r="L14" s="1277"/>
      <c r="M14" s="1305">
        <f>S$348</f>
        <v>0</v>
      </c>
      <c r="N14" s="1307"/>
      <c r="O14" s="745"/>
      <c r="P14" s="186"/>
      <c r="Q14" s="80"/>
    </row>
    <row r="15" spans="1:17" x14ac:dyDescent="0.3">
      <c r="A15" s="183" t="s">
        <v>335</v>
      </c>
      <c r="B15" s="210" t="s">
        <v>732</v>
      </c>
      <c r="C15" s="146"/>
      <c r="D15" s="146"/>
      <c r="E15" s="1253">
        <v>4000</v>
      </c>
      <c r="F15" s="1286">
        <f>U$111</f>
        <v>0</v>
      </c>
      <c r="G15" s="1294"/>
      <c r="H15" s="1091">
        <f>U$190</f>
        <v>0</v>
      </c>
      <c r="I15" s="1092"/>
      <c r="J15" s="1094">
        <f>U$269</f>
        <v>0</v>
      </c>
      <c r="K15" s="116"/>
      <c r="L15" s="1277"/>
      <c r="M15" s="1305">
        <f>U$348</f>
        <v>0</v>
      </c>
      <c r="N15" s="1307"/>
      <c r="O15" s="743"/>
      <c r="P15" s="176"/>
      <c r="Q15" s="146"/>
    </row>
    <row r="16" spans="1:17" x14ac:dyDescent="0.3">
      <c r="A16" s="183" t="s">
        <v>346</v>
      </c>
      <c r="B16" s="211" t="s">
        <v>318</v>
      </c>
      <c r="C16" s="80"/>
      <c r="D16" s="80"/>
      <c r="E16" s="1254">
        <v>2000</v>
      </c>
      <c r="F16" s="1286">
        <f>W$111</f>
        <v>0</v>
      </c>
      <c r="G16" s="1296"/>
      <c r="H16" s="1091">
        <f>W$190</f>
        <v>0</v>
      </c>
      <c r="I16" s="1096"/>
      <c r="J16" s="1094">
        <f>W$269</f>
        <v>0</v>
      </c>
      <c r="K16" s="116"/>
      <c r="L16" s="1277"/>
      <c r="M16" s="1305">
        <f>W$348</f>
        <v>0</v>
      </c>
      <c r="N16" s="1307"/>
      <c r="O16" s="745"/>
      <c r="P16" s="186"/>
      <c r="Q16" s="80"/>
    </row>
    <row r="17" spans="1:38" x14ac:dyDescent="0.3">
      <c r="A17" s="183" t="s">
        <v>357</v>
      </c>
      <c r="B17" s="211" t="s">
        <v>733</v>
      </c>
      <c r="C17" s="80"/>
      <c r="D17" s="80"/>
      <c r="E17" s="1254">
        <v>500</v>
      </c>
      <c r="F17" s="1286">
        <f>Y$111</f>
        <v>0</v>
      </c>
      <c r="G17" s="1296"/>
      <c r="H17" s="1091">
        <f>Y$190</f>
        <v>0</v>
      </c>
      <c r="I17" s="1096"/>
      <c r="J17" s="1094">
        <f>Y$269</f>
        <v>0</v>
      </c>
      <c r="K17" s="116"/>
      <c r="L17" s="1277"/>
      <c r="M17" s="1305">
        <f>Y$348</f>
        <v>0</v>
      </c>
      <c r="N17" s="1307"/>
      <c r="O17" s="745"/>
      <c r="P17" s="186"/>
      <c r="Q17" s="80"/>
    </row>
    <row r="18" spans="1:38" x14ac:dyDescent="0.3">
      <c r="A18" s="183" t="s">
        <v>364</v>
      </c>
      <c r="B18" s="211" t="s">
        <v>363</v>
      </c>
      <c r="C18" s="80"/>
      <c r="D18" s="80"/>
      <c r="E18" s="1254">
        <v>300</v>
      </c>
      <c r="F18" s="1286">
        <f>AA$111</f>
        <v>0</v>
      </c>
      <c r="G18" s="1296"/>
      <c r="H18" s="1091">
        <f>AA$190</f>
        <v>0</v>
      </c>
      <c r="I18" s="1096"/>
      <c r="J18" s="1094">
        <f>AA$269</f>
        <v>0</v>
      </c>
      <c r="K18" s="116"/>
      <c r="L18" s="1277"/>
      <c r="M18" s="1305">
        <f>AA$348</f>
        <v>0</v>
      </c>
      <c r="N18" s="1307"/>
      <c r="O18" s="745"/>
      <c r="P18" s="186"/>
      <c r="Q18" s="80"/>
    </row>
    <row r="19" spans="1:38" x14ac:dyDescent="0.3">
      <c r="A19" s="183" t="s">
        <v>376</v>
      </c>
      <c r="B19" s="211" t="s">
        <v>734</v>
      </c>
      <c r="C19" s="80"/>
      <c r="D19" s="80"/>
      <c r="E19" s="1254">
        <v>500</v>
      </c>
      <c r="F19" s="1286">
        <f>AC$111</f>
        <v>0</v>
      </c>
      <c r="G19" s="1296"/>
      <c r="H19" s="1091">
        <f>AC$190</f>
        <v>0</v>
      </c>
      <c r="I19" s="1096"/>
      <c r="J19" s="1094">
        <f>AC$269</f>
        <v>0</v>
      </c>
      <c r="K19" s="116"/>
      <c r="L19" s="1277"/>
      <c r="M19" s="1305">
        <f>AC$348</f>
        <v>0</v>
      </c>
      <c r="N19" s="1307"/>
      <c r="O19" s="745"/>
      <c r="P19" s="186"/>
      <c r="Q19" s="80"/>
    </row>
    <row r="20" spans="1:38" x14ac:dyDescent="0.3">
      <c r="A20" s="183" t="s">
        <v>386</v>
      </c>
      <c r="B20" s="212" t="s">
        <v>1229</v>
      </c>
      <c r="C20" s="80"/>
      <c r="D20" s="80"/>
      <c r="E20" s="1254">
        <v>500</v>
      </c>
      <c r="F20" s="1286">
        <f>AE$111</f>
        <v>0</v>
      </c>
      <c r="G20" s="1296"/>
      <c r="H20" s="1091">
        <f>AE$190</f>
        <v>0</v>
      </c>
      <c r="I20" s="1096"/>
      <c r="J20" s="1094">
        <f>AE$269</f>
        <v>0</v>
      </c>
      <c r="K20" s="116"/>
      <c r="L20" s="1277"/>
      <c r="M20" s="1305">
        <f>AE$348</f>
        <v>0</v>
      </c>
      <c r="N20" s="1307"/>
      <c r="O20" s="745"/>
      <c r="P20" s="186"/>
      <c r="Q20" s="80"/>
    </row>
    <row r="21" spans="1:38" x14ac:dyDescent="0.3">
      <c r="A21" s="183" t="s">
        <v>398</v>
      </c>
      <c r="B21" s="212" t="s">
        <v>397</v>
      </c>
      <c r="C21" s="80"/>
      <c r="D21" s="80"/>
      <c r="E21" s="1254">
        <v>500</v>
      </c>
      <c r="F21" s="1286">
        <f>AG$111</f>
        <v>0</v>
      </c>
      <c r="G21" s="1296"/>
      <c r="H21" s="1091">
        <f>AG$190</f>
        <v>0</v>
      </c>
      <c r="I21" s="1096"/>
      <c r="J21" s="1094">
        <f>AG$269</f>
        <v>0</v>
      </c>
      <c r="K21" s="116"/>
      <c r="L21" s="1277"/>
      <c r="M21" s="1305">
        <f>AG$348</f>
        <v>0</v>
      </c>
      <c r="N21" s="1307"/>
      <c r="O21" s="745"/>
      <c r="P21" s="186"/>
      <c r="Q21" s="80"/>
    </row>
    <row r="22" spans="1:38" ht="15" thickBot="1" x14ac:dyDescent="0.35">
      <c r="A22" s="183" t="s">
        <v>424</v>
      </c>
      <c r="B22" s="212" t="s">
        <v>675</v>
      </c>
      <c r="C22" s="80"/>
      <c r="D22" s="80"/>
      <c r="E22" s="1254">
        <v>300</v>
      </c>
      <c r="F22" s="1286">
        <f>AI$111</f>
        <v>0</v>
      </c>
      <c r="G22" s="1296"/>
      <c r="H22" s="1091">
        <f>AI$190</f>
        <v>0</v>
      </c>
      <c r="I22" s="1096"/>
      <c r="J22" s="1094">
        <f>AI$269</f>
        <v>0</v>
      </c>
      <c r="K22" s="116"/>
      <c r="L22" s="1281"/>
      <c r="M22" s="1305">
        <f>AI$348</f>
        <v>0</v>
      </c>
      <c r="N22" s="1309"/>
      <c r="O22" s="745"/>
      <c r="P22" s="186"/>
      <c r="Q22" s="80"/>
    </row>
    <row r="23" spans="1:38" ht="15" thickBot="1" x14ac:dyDescent="0.35">
      <c r="A23" s="187"/>
      <c r="B23" s="188"/>
      <c r="C23" s="188"/>
      <c r="D23" s="189" t="s">
        <v>556</v>
      </c>
      <c r="E23" s="194">
        <f t="shared" ref="E23:K23" si="1">SUBTOTAL(109,E10:E22)</f>
        <v>24200</v>
      </c>
      <c r="F23" s="1288">
        <f t="shared" si="1"/>
        <v>9600</v>
      </c>
      <c r="G23" s="1297">
        <f t="shared" si="1"/>
        <v>9600</v>
      </c>
      <c r="H23" s="194">
        <f t="shared" si="1"/>
        <v>9600</v>
      </c>
      <c r="I23" s="1311">
        <f t="shared" si="1"/>
        <v>9600</v>
      </c>
      <c r="J23" s="1098">
        <f t="shared" si="1"/>
        <v>9600</v>
      </c>
      <c r="K23" s="1273">
        <f t="shared" si="1"/>
        <v>0</v>
      </c>
      <c r="L23" s="1282">
        <f>SUBTOTAL(109,L10:L22)</f>
        <v>0</v>
      </c>
      <c r="M23" s="1273">
        <f>SUBTOTAL(109,M10:M22)</f>
        <v>9600</v>
      </c>
      <c r="N23" s="1310">
        <f>SUBTOTAL(109,N10:N22)</f>
        <v>0</v>
      </c>
      <c r="O23" s="171">
        <f>SUBTOTAL(109,O10:O22)</f>
        <v>0</v>
      </c>
      <c r="P23" s="190"/>
      <c r="Q23" s="1268"/>
    </row>
    <row r="24" spans="1:38" x14ac:dyDescent="0.3">
      <c r="A24" s="77"/>
      <c r="B24" s="76"/>
      <c r="C24" s="76"/>
      <c r="D24" s="76"/>
      <c r="E24" s="76"/>
      <c r="F24" s="76"/>
      <c r="G24" s="1298"/>
      <c r="H24" s="76"/>
      <c r="L24" s="1274"/>
      <c r="N24" s="1274"/>
    </row>
    <row r="25" spans="1:38" x14ac:dyDescent="0.3">
      <c r="A25" s="77"/>
      <c r="B25" s="76"/>
      <c r="C25" s="76"/>
      <c r="D25" s="192" t="s">
        <v>735</v>
      </c>
      <c r="E25" s="1283">
        <f>E8-Tabelle18966[[#Totals],[Freie Eingabe HHJ 24-25]]</f>
        <v>-19700</v>
      </c>
      <c r="F25" s="1283">
        <f>F8-Tabelle18966[[#Totals],[Rechnung HHJ 24-25]]</f>
        <v>-9600</v>
      </c>
      <c r="G25" s="1283">
        <f>G8-Tabelle18966[[#Totals],[Freie Eingabe NHH 23-24]]</f>
        <v>-9600</v>
      </c>
      <c r="H25" s="1099">
        <f>H8-Tabelle18966[[#Totals],[Rechnung NHH 23-24]]</f>
        <v>-9600</v>
      </c>
      <c r="I25" s="1099">
        <f>I8-Tabelle18966[[#Totals],[Freie Eingabe HHJ 23-24]]</f>
        <v>-9600</v>
      </c>
      <c r="J25" s="1099">
        <f>J8-Tabelle18966[[#Totals],[Rechnung HHJ 23-24]]</f>
        <v>-9600</v>
      </c>
      <c r="K25" s="1099">
        <f>K8-Tabelle18966[[#Totals],[IST HHJ 23-24]]</f>
        <v>0</v>
      </c>
      <c r="L25" s="1283">
        <f>L8-Tabelle18966[[#Totals],[Freie Eingabe Plan HHJ 22-23]]</f>
        <v>0</v>
      </c>
      <c r="M25" s="1099">
        <f>M8-Tabelle18966[[#Totals],[Rechnung HHJ 22-23]]</f>
        <v>-9600</v>
      </c>
      <c r="N25" s="1283">
        <f>N8-Tabelle18966[[#Totals],[Freie Eingabe Plan HHJ 21-22]]</f>
        <v>0</v>
      </c>
      <c r="O25" s="1099">
        <f>O8-Tabelle18966[[#Totals],[IST HHJ 21-22]]</f>
        <v>0</v>
      </c>
    </row>
    <row r="26" spans="1:38" x14ac:dyDescent="0.3">
      <c r="A26" s="77"/>
      <c r="B26" s="76"/>
      <c r="C26" s="76"/>
      <c r="D26" s="192"/>
      <c r="E26" s="1099"/>
      <c r="F26" s="1099"/>
      <c r="G26" s="1283"/>
      <c r="H26" s="1099"/>
      <c r="I26" s="1099"/>
      <c r="J26" s="1099"/>
      <c r="K26" s="1099"/>
      <c r="L26" s="1283"/>
      <c r="M26" s="1099"/>
      <c r="N26" s="1283"/>
    </row>
    <row r="27" spans="1:38" x14ac:dyDescent="0.3">
      <c r="A27" s="77"/>
      <c r="B27" s="76"/>
      <c r="C27" s="76"/>
      <c r="D27" s="192"/>
      <c r="E27" s="1099"/>
      <c r="F27" s="1099"/>
      <c r="G27" s="1283"/>
      <c r="H27" s="1099"/>
      <c r="I27" s="1099"/>
      <c r="J27" s="1099"/>
      <c r="K27" s="1099"/>
      <c r="L27" s="1283"/>
      <c r="M27" s="1099"/>
      <c r="N27" s="1283"/>
    </row>
    <row r="28" spans="1:38" s="1104" customFormat="1" x14ac:dyDescent="0.3">
      <c r="A28" s="1100"/>
      <c r="B28" s="1101"/>
      <c r="C28" s="1101"/>
      <c r="D28" s="1102"/>
      <c r="E28" s="1103"/>
      <c r="F28" s="1103"/>
      <c r="G28" s="1103"/>
      <c r="H28" s="1103"/>
      <c r="I28" s="1103"/>
      <c r="J28" s="1103"/>
      <c r="K28" s="1103"/>
      <c r="L28" s="1103"/>
      <c r="M28" s="1103"/>
      <c r="N28" s="1103"/>
    </row>
    <row r="29" spans="1:38" x14ac:dyDescent="0.3">
      <c r="A29" s="77"/>
      <c r="B29" s="76"/>
      <c r="C29" s="76"/>
      <c r="D29" s="76"/>
      <c r="E29" s="76"/>
      <c r="F29" s="76"/>
      <c r="G29" s="76"/>
      <c r="H29" s="76"/>
    </row>
    <row r="30" spans="1:38" ht="18" x14ac:dyDescent="0.3">
      <c r="A30" s="1105" t="s">
        <v>1401</v>
      </c>
      <c r="C30" s="76"/>
      <c r="D30" s="76"/>
      <c r="E30" s="76"/>
      <c r="F30" s="76"/>
      <c r="G30" s="76"/>
      <c r="H30" s="76"/>
    </row>
    <row r="31" spans="1:38" x14ac:dyDescent="0.3">
      <c r="A31" s="77"/>
      <c r="B31" s="76"/>
      <c r="C31" s="76"/>
      <c r="D31" s="76"/>
      <c r="E31" s="76"/>
      <c r="F31" s="76"/>
      <c r="G31" s="76"/>
      <c r="H31" s="76"/>
    </row>
    <row r="32" spans="1:38" ht="69" x14ac:dyDescent="0.3">
      <c r="A32" s="1355" t="s">
        <v>1402</v>
      </c>
      <c r="B32" s="1355"/>
      <c r="C32" s="1355"/>
      <c r="D32" s="1355"/>
      <c r="E32" s="1106" t="s">
        <v>650</v>
      </c>
      <c r="F32" s="1106" t="s">
        <v>8</v>
      </c>
      <c r="G32" s="1107" t="s">
        <v>651</v>
      </c>
      <c r="H32" s="1106" t="s">
        <v>8</v>
      </c>
      <c r="I32" s="1107" t="s">
        <v>725</v>
      </c>
      <c r="J32" s="1106" t="s">
        <v>8</v>
      </c>
      <c r="K32" s="1107" t="s">
        <v>726</v>
      </c>
      <c r="L32" s="1106" t="s">
        <v>8</v>
      </c>
      <c r="M32" s="1107" t="s">
        <v>727</v>
      </c>
      <c r="N32" s="1106" t="s">
        <v>8</v>
      </c>
      <c r="O32" s="1107" t="s">
        <v>1403</v>
      </c>
      <c r="P32" s="1106" t="s">
        <v>8</v>
      </c>
      <c r="Q32" s="1107" t="s">
        <v>256</v>
      </c>
      <c r="R32" s="1106" t="s">
        <v>8</v>
      </c>
      <c r="S32" s="1107" t="s">
        <v>731</v>
      </c>
      <c r="T32" s="1106" t="s">
        <v>8</v>
      </c>
      <c r="U32" s="1107" t="s">
        <v>732</v>
      </c>
      <c r="V32" s="1106" t="s">
        <v>8</v>
      </c>
      <c r="W32" s="1107" t="s">
        <v>318</v>
      </c>
      <c r="X32" s="1106" t="s">
        <v>8</v>
      </c>
      <c r="Y32" s="1107" t="s">
        <v>733</v>
      </c>
      <c r="Z32" s="1106" t="s">
        <v>8</v>
      </c>
      <c r="AA32" s="1107" t="s">
        <v>363</v>
      </c>
      <c r="AB32" s="1106" t="s">
        <v>8</v>
      </c>
      <c r="AC32" s="1107" t="s">
        <v>375</v>
      </c>
      <c r="AD32" s="1106" t="s">
        <v>8</v>
      </c>
      <c r="AE32" s="1107" t="s">
        <v>1222</v>
      </c>
      <c r="AF32" s="1106" t="s">
        <v>8</v>
      </c>
      <c r="AG32" s="1107" t="s">
        <v>397</v>
      </c>
      <c r="AH32" s="1106" t="s">
        <v>8</v>
      </c>
      <c r="AI32" s="1107" t="s">
        <v>675</v>
      </c>
      <c r="AJ32" s="1107"/>
      <c r="AK32" s="1108" t="s">
        <v>1404</v>
      </c>
      <c r="AL32" s="1106" t="s">
        <v>1405</v>
      </c>
    </row>
    <row r="33" spans="1:38" x14ac:dyDescent="0.3">
      <c r="A33" s="1109"/>
      <c r="B33" s="1109"/>
      <c r="C33" s="1109"/>
      <c r="D33" s="1109"/>
      <c r="E33" s="1106"/>
      <c r="F33" s="1106"/>
      <c r="G33" s="1107"/>
      <c r="H33" s="1106"/>
      <c r="I33" s="1107"/>
      <c r="J33" s="1106"/>
      <c r="K33" s="1107"/>
      <c r="L33" s="1106"/>
      <c r="M33" s="1107"/>
      <c r="N33" s="1106"/>
      <c r="O33" s="1107"/>
      <c r="P33" s="1106"/>
      <c r="Q33" s="1107"/>
      <c r="R33" s="1106"/>
      <c r="S33" s="1107"/>
      <c r="T33" s="1106"/>
      <c r="U33" s="1107"/>
      <c r="V33" s="1106"/>
      <c r="W33" s="1107"/>
      <c r="X33" s="1106"/>
      <c r="Y33" s="1107"/>
      <c r="Z33" s="1106"/>
      <c r="AA33" s="1107"/>
      <c r="AB33" s="1106"/>
      <c r="AC33" s="1107"/>
      <c r="AD33" s="1106"/>
      <c r="AE33" s="1107"/>
      <c r="AF33" s="1106"/>
      <c r="AG33" s="1107"/>
      <c r="AH33" s="1106"/>
      <c r="AI33" s="1107"/>
      <c r="AJ33" s="1107"/>
      <c r="AK33" s="1108"/>
      <c r="AL33" s="1106"/>
    </row>
    <row r="34" spans="1:38" ht="18" x14ac:dyDescent="0.3">
      <c r="A34" s="1110" t="s">
        <v>1406</v>
      </c>
      <c r="B34" s="1111"/>
      <c r="C34" s="1111"/>
      <c r="D34" s="1111"/>
      <c r="E34" s="1112"/>
      <c r="F34" s="1112"/>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c r="AI34" s="660"/>
      <c r="AJ34" s="660"/>
      <c r="AK34" s="660"/>
    </row>
    <row r="35" spans="1:38" ht="17.25" customHeight="1" thickBot="1" x14ac:dyDescent="0.35">
      <c r="A35" s="39"/>
      <c r="B35" s="1113"/>
      <c r="C35" s="1113"/>
      <c r="D35" s="1114" t="s">
        <v>1407</v>
      </c>
      <c r="E35" s="1115" t="s">
        <v>69</v>
      </c>
      <c r="F35" s="1116" t="s">
        <v>8</v>
      </c>
      <c r="G35" s="1115" t="s">
        <v>83</v>
      </c>
      <c r="H35" s="1116" t="s">
        <v>8</v>
      </c>
      <c r="I35" s="1115" t="s">
        <v>90</v>
      </c>
      <c r="J35" s="1116" t="s">
        <v>8</v>
      </c>
      <c r="K35" s="1117" t="s">
        <v>134</v>
      </c>
      <c r="L35" s="1118" t="s">
        <v>8</v>
      </c>
      <c r="M35" s="1117" t="s">
        <v>136</v>
      </c>
      <c r="N35" s="1118" t="s">
        <v>8</v>
      </c>
      <c r="O35" s="1117" t="s">
        <v>728</v>
      </c>
      <c r="P35" s="1118" t="s">
        <v>8</v>
      </c>
      <c r="Q35" s="1117" t="s">
        <v>266</v>
      </c>
      <c r="R35" s="1118" t="s">
        <v>8</v>
      </c>
      <c r="S35" s="1117" t="s">
        <v>292</v>
      </c>
      <c r="T35" s="1118" t="s">
        <v>8</v>
      </c>
      <c r="U35" s="1117" t="s">
        <v>335</v>
      </c>
      <c r="V35" s="1118" t="s">
        <v>8</v>
      </c>
      <c r="W35" s="1117" t="s">
        <v>346</v>
      </c>
      <c r="X35" s="1118" t="s">
        <v>8</v>
      </c>
      <c r="Y35" s="1117" t="s">
        <v>357</v>
      </c>
      <c r="Z35" s="1118" t="s">
        <v>8</v>
      </c>
      <c r="AA35" s="1117" t="s">
        <v>364</v>
      </c>
      <c r="AB35" s="1118" t="s">
        <v>8</v>
      </c>
      <c r="AC35" s="1117" t="s">
        <v>376</v>
      </c>
      <c r="AD35" s="1118" t="s">
        <v>8</v>
      </c>
      <c r="AE35" s="1117" t="s">
        <v>386</v>
      </c>
      <c r="AF35" s="1118" t="s">
        <v>8</v>
      </c>
      <c r="AG35" s="1117" t="s">
        <v>398</v>
      </c>
      <c r="AH35" s="1118" t="s">
        <v>8</v>
      </c>
      <c r="AI35" s="1117" t="s">
        <v>424</v>
      </c>
      <c r="AJ35" s="1119" t="s">
        <v>8</v>
      </c>
      <c r="AK35" s="1120" t="s">
        <v>1404</v>
      </c>
      <c r="AL35" s="1121" t="s">
        <v>1405</v>
      </c>
    </row>
    <row r="36" spans="1:38" ht="18" outlineLevel="1" x14ac:dyDescent="0.35">
      <c r="A36" s="1122" t="s">
        <v>1223</v>
      </c>
      <c r="B36" s="1123" t="s">
        <v>625</v>
      </c>
      <c r="C36" s="1124" t="s">
        <v>1523</v>
      </c>
      <c r="D36" s="1125" t="s">
        <v>1409</v>
      </c>
      <c r="E36" s="1126"/>
      <c r="F36" s="1127"/>
      <c r="G36" s="1127"/>
      <c r="H36" s="1127"/>
      <c r="I36" s="1127"/>
      <c r="J36" s="1127"/>
      <c r="K36" s="1127"/>
      <c r="L36" s="1127"/>
      <c r="M36" s="1127"/>
      <c r="N36" s="1127"/>
      <c r="O36" s="1127"/>
      <c r="P36" s="1127"/>
      <c r="Q36" s="1127"/>
      <c r="R36" s="1127"/>
      <c r="S36" s="1127"/>
      <c r="T36" s="1127"/>
      <c r="U36" s="1127"/>
      <c r="V36" s="1127"/>
      <c r="W36" s="1127"/>
      <c r="X36" s="1127"/>
      <c r="Y36" s="1127"/>
      <c r="Z36" s="1127"/>
      <c r="AA36" s="1127"/>
      <c r="AB36" s="1127"/>
      <c r="AC36" s="1127"/>
      <c r="AD36" s="1127"/>
      <c r="AE36" s="1127"/>
      <c r="AF36" s="1127"/>
      <c r="AG36" s="1127"/>
      <c r="AH36" s="1127"/>
      <c r="AI36" s="1127"/>
      <c r="AJ36" s="1128"/>
      <c r="AK36" s="1128"/>
      <c r="AL36" s="1129"/>
    </row>
    <row r="37" spans="1:38" ht="276" hidden="1" outlineLevel="2" x14ac:dyDescent="0.3">
      <c r="A37" s="1130"/>
      <c r="B37" s="1131" t="s">
        <v>1518</v>
      </c>
      <c r="C37" s="1132"/>
      <c r="D37" s="1133"/>
      <c r="E37" s="1134"/>
      <c r="F37" s="1135"/>
      <c r="G37" s="1135"/>
      <c r="H37" s="1135"/>
      <c r="I37" s="1135"/>
      <c r="J37" s="1135"/>
      <c r="K37" s="1135"/>
      <c r="L37" s="1135"/>
      <c r="M37" s="1135"/>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6"/>
      <c r="AK37" s="1136"/>
      <c r="AL37" s="1137"/>
    </row>
    <row r="38" spans="1:38" s="39" customFormat="1" ht="47.25" hidden="1" customHeight="1" outlineLevel="2" x14ac:dyDescent="0.3">
      <c r="A38" s="1130"/>
      <c r="B38" s="1131" t="s">
        <v>1367</v>
      </c>
      <c r="C38" s="1132"/>
      <c r="D38" s="1133"/>
      <c r="E38" s="1134"/>
      <c r="F38" s="1135"/>
      <c r="G38" s="1135"/>
      <c r="H38" s="1135"/>
      <c r="I38" s="1135"/>
      <c r="J38" s="1135"/>
      <c r="K38" s="1135"/>
      <c r="L38" s="1135"/>
      <c r="M38" s="1135"/>
      <c r="N38" s="1135"/>
      <c r="O38" s="1135"/>
      <c r="P38" s="1135"/>
      <c r="Q38" s="1135"/>
      <c r="R38" s="1135"/>
      <c r="S38" s="1135"/>
      <c r="T38" s="1135"/>
      <c r="U38" s="1135"/>
      <c r="V38" s="1135"/>
      <c r="W38" s="1135"/>
      <c r="X38" s="1135"/>
      <c r="Y38" s="1135"/>
      <c r="Z38" s="1135"/>
      <c r="AA38" s="1135"/>
      <c r="AB38" s="1135"/>
      <c r="AC38" s="1135"/>
      <c r="AD38" s="1135"/>
      <c r="AE38" s="1135"/>
      <c r="AF38" s="1135"/>
      <c r="AG38" s="1135"/>
      <c r="AH38" s="1135"/>
      <c r="AI38" s="1135"/>
      <c r="AJ38" s="1136"/>
      <c r="AK38" s="1137">
        <f t="shared" ref="AK38:AL69" si="2">SUM(E38,G38,I38)-SUM(K38,M38,O38,Q38,S38,U38,W38,Y38,AA38,AC38,AE38,AG38,AI38)</f>
        <v>0</v>
      </c>
      <c r="AL38" s="1137">
        <f t="shared" si="2"/>
        <v>0</v>
      </c>
    </row>
    <row r="39" spans="1:38" ht="17.25" hidden="1" customHeight="1" outlineLevel="2" x14ac:dyDescent="0.3">
      <c r="A39" s="1130"/>
      <c r="B39" s="1131" t="s">
        <v>706</v>
      </c>
      <c r="C39" s="1132"/>
      <c r="D39" s="1133"/>
      <c r="E39" s="1134"/>
      <c r="F39" s="1135"/>
      <c r="G39" s="1135"/>
      <c r="H39" s="1135"/>
      <c r="I39" s="1135"/>
      <c r="J39" s="1135"/>
      <c r="K39" s="1135"/>
      <c r="L39" s="1135"/>
      <c r="M39" s="1135"/>
      <c r="N39" s="1135"/>
      <c r="O39" s="1135"/>
      <c r="P39" s="1135"/>
      <c r="Q39" s="1135"/>
      <c r="R39" s="1135"/>
      <c r="S39" s="1135"/>
      <c r="T39" s="1135"/>
      <c r="U39" s="1135"/>
      <c r="V39" s="1135"/>
      <c r="W39" s="1135"/>
      <c r="X39" s="1135"/>
      <c r="Y39" s="1135"/>
      <c r="Z39" s="1135"/>
      <c r="AA39" s="1135"/>
      <c r="AB39" s="1135"/>
      <c r="AC39" s="1135"/>
      <c r="AD39" s="1135"/>
      <c r="AE39" s="1135"/>
      <c r="AF39" s="1135"/>
      <c r="AG39" s="1135"/>
      <c r="AH39" s="1135"/>
      <c r="AI39" s="1135"/>
      <c r="AJ39" s="1136"/>
      <c r="AK39" s="1137">
        <f t="shared" si="2"/>
        <v>0</v>
      </c>
      <c r="AL39" s="1137">
        <f t="shared" si="2"/>
        <v>0</v>
      </c>
    </row>
    <row r="40" spans="1:38" ht="17.25" hidden="1" customHeight="1" outlineLevel="2" x14ac:dyDescent="0.3">
      <c r="A40" s="1130"/>
      <c r="B40" s="1138" t="s">
        <v>751</v>
      </c>
      <c r="C40" s="1139"/>
      <c r="D40" s="1140"/>
      <c r="E40" s="1134"/>
      <c r="F40" s="1141"/>
      <c r="G40" s="1141"/>
      <c r="H40" s="1141"/>
      <c r="I40" s="1141"/>
      <c r="J40" s="1141"/>
      <c r="K40" s="1135"/>
      <c r="L40" s="1141"/>
      <c r="M40" s="1141"/>
      <c r="N40" s="1141"/>
      <c r="O40" s="1141"/>
      <c r="P40" s="1141"/>
      <c r="Q40" s="1141"/>
      <c r="R40" s="1141"/>
      <c r="S40" s="1141"/>
      <c r="T40" s="1141"/>
      <c r="U40" s="1135"/>
      <c r="V40" s="1141"/>
      <c r="W40" s="1141"/>
      <c r="X40" s="1141"/>
      <c r="Y40" s="1141"/>
      <c r="Z40" s="1141"/>
      <c r="AA40" s="1141"/>
      <c r="AB40" s="1141"/>
      <c r="AC40" s="1141"/>
      <c r="AD40" s="1141"/>
      <c r="AE40" s="1135"/>
      <c r="AF40" s="1141"/>
      <c r="AG40" s="1135"/>
      <c r="AH40" s="1141"/>
      <c r="AI40" s="1141"/>
      <c r="AJ40" s="1142"/>
      <c r="AK40" s="1137">
        <f t="shared" si="2"/>
        <v>0</v>
      </c>
      <c r="AL40" s="1137">
        <f t="shared" si="2"/>
        <v>0</v>
      </c>
    </row>
    <row r="41" spans="1:38" hidden="1" outlineLevel="2" x14ac:dyDescent="0.3">
      <c r="A41" s="1130"/>
      <c r="B41" s="1138"/>
      <c r="C41" s="1139"/>
      <c r="D41" s="1140"/>
      <c r="E41" s="1134"/>
      <c r="F41" s="1141"/>
      <c r="G41" s="1141"/>
      <c r="H41" s="1141"/>
      <c r="I41" s="1141"/>
      <c r="J41" s="1141"/>
      <c r="K41" s="1135"/>
      <c r="L41" s="1141"/>
      <c r="M41" s="1141"/>
      <c r="N41" s="1141"/>
      <c r="O41" s="1141"/>
      <c r="P41" s="1141"/>
      <c r="Q41" s="1141"/>
      <c r="R41" s="1141"/>
      <c r="S41" s="1141"/>
      <c r="T41" s="1141"/>
      <c r="U41" s="1135"/>
      <c r="V41" s="1141"/>
      <c r="W41" s="1141"/>
      <c r="X41" s="1141"/>
      <c r="Y41" s="1141"/>
      <c r="Z41" s="1141"/>
      <c r="AA41" s="1141"/>
      <c r="AB41" s="1141"/>
      <c r="AC41" s="1141"/>
      <c r="AD41" s="1141"/>
      <c r="AE41" s="1135"/>
      <c r="AF41" s="1141"/>
      <c r="AG41" s="1135"/>
      <c r="AH41" s="1141"/>
      <c r="AI41" s="1141"/>
      <c r="AJ41" s="1142"/>
      <c r="AK41" s="1137">
        <f t="shared" si="2"/>
        <v>0</v>
      </c>
      <c r="AL41" s="1137">
        <f t="shared" si="2"/>
        <v>0</v>
      </c>
    </row>
    <row r="42" spans="1:38" hidden="1" outlineLevel="2" x14ac:dyDescent="0.3">
      <c r="A42" s="1130"/>
      <c r="B42" s="1138"/>
      <c r="C42" s="1139"/>
      <c r="D42" s="1140"/>
      <c r="E42" s="1134"/>
      <c r="F42" s="1141"/>
      <c r="G42" s="1141"/>
      <c r="H42" s="1141"/>
      <c r="I42" s="1141"/>
      <c r="J42" s="1141"/>
      <c r="K42" s="1135"/>
      <c r="L42" s="1141"/>
      <c r="M42" s="1141"/>
      <c r="N42" s="1141"/>
      <c r="O42" s="1141"/>
      <c r="P42" s="1141"/>
      <c r="Q42" s="1141"/>
      <c r="R42" s="1141"/>
      <c r="S42" s="1141"/>
      <c r="T42" s="1141"/>
      <c r="U42" s="1135"/>
      <c r="V42" s="1141"/>
      <c r="W42" s="1141"/>
      <c r="X42" s="1141"/>
      <c r="Y42" s="1141"/>
      <c r="Z42" s="1141"/>
      <c r="AA42" s="1141"/>
      <c r="AB42" s="1141"/>
      <c r="AC42" s="1141"/>
      <c r="AD42" s="1141"/>
      <c r="AE42" s="1135"/>
      <c r="AF42" s="1141"/>
      <c r="AG42" s="1135"/>
      <c r="AH42" s="1141"/>
      <c r="AI42" s="1141"/>
      <c r="AJ42" s="1142"/>
      <c r="AK42" s="1137">
        <f t="shared" si="2"/>
        <v>0</v>
      </c>
      <c r="AL42" s="1137">
        <f t="shared" si="2"/>
        <v>0</v>
      </c>
    </row>
    <row r="43" spans="1:38" hidden="1" outlineLevel="2" x14ac:dyDescent="0.3">
      <c r="A43" s="1130"/>
      <c r="B43" s="1138" t="s">
        <v>631</v>
      </c>
      <c r="C43" s="1139"/>
      <c r="D43" s="1140"/>
      <c r="E43" s="1134"/>
      <c r="F43" s="1141"/>
      <c r="G43" s="1141"/>
      <c r="H43" s="1141"/>
      <c r="I43" s="1141"/>
      <c r="J43" s="1141"/>
      <c r="K43" s="1135"/>
      <c r="L43" s="1141"/>
      <c r="M43" s="1141"/>
      <c r="N43" s="1141"/>
      <c r="O43" s="1141"/>
      <c r="P43" s="1141"/>
      <c r="Q43" s="1141"/>
      <c r="R43" s="1141"/>
      <c r="S43" s="1141"/>
      <c r="T43" s="1141"/>
      <c r="U43" s="1135"/>
      <c r="V43" s="1141"/>
      <c r="W43" s="1141"/>
      <c r="X43" s="1141"/>
      <c r="Y43" s="1141"/>
      <c r="Z43" s="1141"/>
      <c r="AA43" s="1141"/>
      <c r="AB43" s="1141"/>
      <c r="AC43" s="1141"/>
      <c r="AD43" s="1141"/>
      <c r="AE43" s="1135"/>
      <c r="AF43" s="1141"/>
      <c r="AG43" s="1135"/>
      <c r="AH43" s="1141"/>
      <c r="AI43" s="1141"/>
      <c r="AJ43" s="1142"/>
      <c r="AK43" s="1137">
        <f t="shared" si="2"/>
        <v>0</v>
      </c>
      <c r="AL43" s="1137">
        <f t="shared" si="2"/>
        <v>0</v>
      </c>
    </row>
    <row r="44" spans="1:38" hidden="1" outlineLevel="2" x14ac:dyDescent="0.3">
      <c r="A44" s="1130"/>
      <c r="B44" s="1138"/>
      <c r="C44" s="1139"/>
      <c r="D44" s="1140"/>
      <c r="E44" s="1134"/>
      <c r="F44" s="1141"/>
      <c r="G44" s="1141"/>
      <c r="H44" s="1141"/>
      <c r="I44" s="1141"/>
      <c r="J44" s="1141"/>
      <c r="K44" s="1135"/>
      <c r="L44" s="1141"/>
      <c r="M44" s="1141"/>
      <c r="N44" s="1141"/>
      <c r="O44" s="1141"/>
      <c r="P44" s="1141"/>
      <c r="Q44" s="1141"/>
      <c r="R44" s="1141"/>
      <c r="S44" s="1141"/>
      <c r="T44" s="1141"/>
      <c r="U44" s="1135"/>
      <c r="V44" s="1141"/>
      <c r="W44" s="1141"/>
      <c r="X44" s="1141"/>
      <c r="Y44" s="1141"/>
      <c r="Z44" s="1141"/>
      <c r="AA44" s="1141"/>
      <c r="AB44" s="1141"/>
      <c r="AC44" s="1141"/>
      <c r="AD44" s="1141"/>
      <c r="AE44" s="1135"/>
      <c r="AF44" s="1141"/>
      <c r="AG44" s="1135"/>
      <c r="AH44" s="1141"/>
      <c r="AI44" s="1141"/>
      <c r="AJ44" s="1142"/>
      <c r="AK44" s="1137">
        <f t="shared" si="2"/>
        <v>0</v>
      </c>
      <c r="AL44" s="1137">
        <f t="shared" si="2"/>
        <v>0</v>
      </c>
    </row>
    <row r="45" spans="1:38" hidden="1" outlineLevel="2" x14ac:dyDescent="0.3">
      <c r="A45" s="1130"/>
      <c r="B45" s="1138"/>
      <c r="C45" s="1139"/>
      <c r="D45" s="1140"/>
      <c r="E45" s="1134"/>
      <c r="F45" s="1141"/>
      <c r="G45" s="1141"/>
      <c r="H45" s="1141"/>
      <c r="I45" s="1141"/>
      <c r="J45" s="1141"/>
      <c r="K45" s="1135"/>
      <c r="L45" s="1141"/>
      <c r="M45" s="1141"/>
      <c r="N45" s="1141"/>
      <c r="O45" s="1141"/>
      <c r="P45" s="1141"/>
      <c r="Q45" s="1141"/>
      <c r="R45" s="1141"/>
      <c r="S45" s="1141"/>
      <c r="T45" s="1141"/>
      <c r="U45" s="1135"/>
      <c r="V45" s="1141"/>
      <c r="W45" s="1141"/>
      <c r="X45" s="1141"/>
      <c r="Y45" s="1141"/>
      <c r="Z45" s="1141"/>
      <c r="AA45" s="1141"/>
      <c r="AB45" s="1141"/>
      <c r="AC45" s="1141"/>
      <c r="AD45" s="1141"/>
      <c r="AE45" s="1135"/>
      <c r="AF45" s="1141"/>
      <c r="AG45" s="1135"/>
      <c r="AH45" s="1141"/>
      <c r="AI45" s="1141"/>
      <c r="AJ45" s="1142"/>
      <c r="AK45" s="1137">
        <f t="shared" si="2"/>
        <v>0</v>
      </c>
      <c r="AL45" s="1137">
        <f t="shared" si="2"/>
        <v>0</v>
      </c>
    </row>
    <row r="46" spans="1:38" hidden="1" outlineLevel="2" x14ac:dyDescent="0.3">
      <c r="A46" s="1130"/>
      <c r="B46" s="1138"/>
      <c r="C46" s="1139"/>
      <c r="D46" s="1140"/>
      <c r="E46" s="1134"/>
      <c r="F46" s="1141"/>
      <c r="G46" s="1141"/>
      <c r="H46" s="1141"/>
      <c r="I46" s="1141"/>
      <c r="J46" s="1141"/>
      <c r="K46" s="1135"/>
      <c r="L46" s="1141"/>
      <c r="M46" s="1141"/>
      <c r="N46" s="1141"/>
      <c r="O46" s="1141"/>
      <c r="P46" s="1141"/>
      <c r="Q46" s="1141"/>
      <c r="R46" s="1141"/>
      <c r="S46" s="1141"/>
      <c r="T46" s="1141"/>
      <c r="U46" s="1135"/>
      <c r="V46" s="1141"/>
      <c r="W46" s="1141"/>
      <c r="X46" s="1141"/>
      <c r="Y46" s="1141"/>
      <c r="Z46" s="1141"/>
      <c r="AA46" s="1141"/>
      <c r="AB46" s="1141"/>
      <c r="AC46" s="1141"/>
      <c r="AD46" s="1141"/>
      <c r="AE46" s="1135"/>
      <c r="AF46" s="1141"/>
      <c r="AG46" s="1135"/>
      <c r="AH46" s="1141"/>
      <c r="AI46" s="1141"/>
      <c r="AJ46" s="1142"/>
      <c r="AK46" s="1137">
        <f t="shared" si="2"/>
        <v>0</v>
      </c>
      <c r="AL46" s="1137">
        <f t="shared" si="2"/>
        <v>0</v>
      </c>
    </row>
    <row r="47" spans="1:38" hidden="1" outlineLevel="2" x14ac:dyDescent="0.3">
      <c r="A47" s="1130"/>
      <c r="B47" s="1138"/>
      <c r="C47" s="1139"/>
      <c r="D47" s="1140"/>
      <c r="E47" s="1134"/>
      <c r="F47" s="1141"/>
      <c r="G47" s="1141"/>
      <c r="H47" s="1141"/>
      <c r="I47" s="1141"/>
      <c r="J47" s="1141"/>
      <c r="K47" s="1135"/>
      <c r="L47" s="1141"/>
      <c r="M47" s="1141"/>
      <c r="N47" s="1141"/>
      <c r="O47" s="1141"/>
      <c r="P47" s="1141"/>
      <c r="Q47" s="1141"/>
      <c r="R47" s="1141"/>
      <c r="S47" s="1141"/>
      <c r="T47" s="1141"/>
      <c r="U47" s="1135"/>
      <c r="V47" s="1141"/>
      <c r="W47" s="1141"/>
      <c r="X47" s="1141"/>
      <c r="Y47" s="1141"/>
      <c r="Z47" s="1141"/>
      <c r="AA47" s="1141"/>
      <c r="AB47" s="1141"/>
      <c r="AC47" s="1141"/>
      <c r="AD47" s="1141"/>
      <c r="AE47" s="1135"/>
      <c r="AF47" s="1141"/>
      <c r="AG47" s="1135"/>
      <c r="AH47" s="1141"/>
      <c r="AI47" s="1141"/>
      <c r="AJ47" s="1142"/>
      <c r="AK47" s="1137">
        <f t="shared" si="2"/>
        <v>0</v>
      </c>
      <c r="AL47" s="1137">
        <f t="shared" si="2"/>
        <v>0</v>
      </c>
    </row>
    <row r="48" spans="1:38" hidden="1" outlineLevel="2" x14ac:dyDescent="0.3">
      <c r="A48" s="1130"/>
      <c r="B48" s="1138"/>
      <c r="C48" s="1139"/>
      <c r="D48" s="1140"/>
      <c r="E48" s="1134"/>
      <c r="F48" s="1141"/>
      <c r="G48" s="1141"/>
      <c r="H48" s="1141"/>
      <c r="I48" s="1141"/>
      <c r="J48" s="1141"/>
      <c r="K48" s="1135"/>
      <c r="L48" s="1141"/>
      <c r="M48" s="1141"/>
      <c r="N48" s="1141"/>
      <c r="O48" s="1141"/>
      <c r="P48" s="1141"/>
      <c r="Q48" s="1141"/>
      <c r="R48" s="1141"/>
      <c r="S48" s="1141"/>
      <c r="T48" s="1141"/>
      <c r="U48" s="1135"/>
      <c r="V48" s="1141"/>
      <c r="W48" s="1141"/>
      <c r="X48" s="1141"/>
      <c r="Y48" s="1141"/>
      <c r="Z48" s="1141"/>
      <c r="AA48" s="1141"/>
      <c r="AB48" s="1141"/>
      <c r="AC48" s="1141"/>
      <c r="AD48" s="1141"/>
      <c r="AE48" s="1135"/>
      <c r="AF48" s="1141"/>
      <c r="AG48" s="1135"/>
      <c r="AH48" s="1141"/>
      <c r="AI48" s="1141"/>
      <c r="AJ48" s="1142"/>
      <c r="AK48" s="1137">
        <f t="shared" si="2"/>
        <v>0</v>
      </c>
      <c r="AL48" s="1137">
        <f t="shared" si="2"/>
        <v>0</v>
      </c>
    </row>
    <row r="49" spans="1:38" hidden="1" outlineLevel="2" x14ac:dyDescent="0.3">
      <c r="A49" s="1130"/>
      <c r="B49" s="1138"/>
      <c r="C49" s="1139"/>
      <c r="D49" s="1140"/>
      <c r="E49" s="1134"/>
      <c r="F49" s="1141"/>
      <c r="G49" s="1141"/>
      <c r="H49" s="1141"/>
      <c r="I49" s="1141"/>
      <c r="J49" s="1141"/>
      <c r="K49" s="1135"/>
      <c r="L49" s="1141"/>
      <c r="M49" s="1141"/>
      <c r="N49" s="1141"/>
      <c r="O49" s="1141"/>
      <c r="P49" s="1141"/>
      <c r="Q49" s="1141"/>
      <c r="R49" s="1141"/>
      <c r="S49" s="1141"/>
      <c r="T49" s="1141"/>
      <c r="U49" s="1135"/>
      <c r="V49" s="1141"/>
      <c r="W49" s="1141"/>
      <c r="X49" s="1141"/>
      <c r="Y49" s="1141"/>
      <c r="Z49" s="1141"/>
      <c r="AA49" s="1141"/>
      <c r="AB49" s="1141"/>
      <c r="AC49" s="1141"/>
      <c r="AD49" s="1141"/>
      <c r="AE49" s="1135"/>
      <c r="AF49" s="1141"/>
      <c r="AG49" s="1135"/>
      <c r="AH49" s="1141"/>
      <c r="AI49" s="1141"/>
      <c r="AJ49" s="1142"/>
      <c r="AK49" s="1137">
        <f t="shared" si="2"/>
        <v>0</v>
      </c>
      <c r="AL49" s="1137">
        <f t="shared" si="2"/>
        <v>0</v>
      </c>
    </row>
    <row r="50" spans="1:38" hidden="1" outlineLevel="2" x14ac:dyDescent="0.3">
      <c r="A50" s="1130"/>
      <c r="B50" s="1138"/>
      <c r="C50" s="1139"/>
      <c r="D50" s="1140"/>
      <c r="E50" s="1134"/>
      <c r="F50" s="1141"/>
      <c r="G50" s="1141"/>
      <c r="H50" s="1141"/>
      <c r="I50" s="1141"/>
      <c r="J50" s="1141"/>
      <c r="K50" s="1135"/>
      <c r="L50" s="1141"/>
      <c r="M50" s="1141"/>
      <c r="N50" s="1141"/>
      <c r="O50" s="1141"/>
      <c r="P50" s="1141"/>
      <c r="Q50" s="1141"/>
      <c r="R50" s="1141"/>
      <c r="S50" s="1141"/>
      <c r="T50" s="1141"/>
      <c r="U50" s="1135"/>
      <c r="V50" s="1141"/>
      <c r="W50" s="1141"/>
      <c r="X50" s="1141"/>
      <c r="Y50" s="1141"/>
      <c r="Z50" s="1141"/>
      <c r="AA50" s="1141"/>
      <c r="AB50" s="1141"/>
      <c r="AC50" s="1141"/>
      <c r="AD50" s="1141"/>
      <c r="AE50" s="1135"/>
      <c r="AF50" s="1141"/>
      <c r="AG50" s="1135"/>
      <c r="AH50" s="1141"/>
      <c r="AI50" s="1141"/>
      <c r="AJ50" s="1142"/>
      <c r="AK50" s="1137">
        <f t="shared" si="2"/>
        <v>0</v>
      </c>
      <c r="AL50" s="1137">
        <f t="shared" si="2"/>
        <v>0</v>
      </c>
    </row>
    <row r="51" spans="1:38" hidden="1" outlineLevel="2" x14ac:dyDescent="0.3">
      <c r="A51" s="1130"/>
      <c r="B51" s="1138"/>
      <c r="C51" s="1139"/>
      <c r="D51" s="1140"/>
      <c r="E51" s="1134"/>
      <c r="F51" s="1141"/>
      <c r="G51" s="1141"/>
      <c r="H51" s="1141"/>
      <c r="I51" s="1141"/>
      <c r="J51" s="1141"/>
      <c r="K51" s="1135"/>
      <c r="L51" s="1141"/>
      <c r="M51" s="1141"/>
      <c r="N51" s="1141"/>
      <c r="O51" s="1141"/>
      <c r="P51" s="1141"/>
      <c r="Q51" s="1141"/>
      <c r="R51" s="1141"/>
      <c r="S51" s="1141"/>
      <c r="T51" s="1141"/>
      <c r="U51" s="1135"/>
      <c r="V51" s="1141"/>
      <c r="W51" s="1141"/>
      <c r="X51" s="1141"/>
      <c r="Y51" s="1141"/>
      <c r="Z51" s="1141"/>
      <c r="AA51" s="1141"/>
      <c r="AB51" s="1141"/>
      <c r="AC51" s="1141"/>
      <c r="AD51" s="1141"/>
      <c r="AE51" s="1135"/>
      <c r="AF51" s="1141"/>
      <c r="AG51" s="1135"/>
      <c r="AH51" s="1141"/>
      <c r="AI51" s="1141"/>
      <c r="AJ51" s="1142"/>
      <c r="AK51" s="1137">
        <f t="shared" si="2"/>
        <v>0</v>
      </c>
      <c r="AL51" s="1137">
        <f t="shared" si="2"/>
        <v>0</v>
      </c>
    </row>
    <row r="52" spans="1:38" hidden="1" outlineLevel="2" x14ac:dyDescent="0.3">
      <c r="A52" s="1130"/>
      <c r="B52" s="1138"/>
      <c r="C52" s="1139"/>
      <c r="D52" s="1140"/>
      <c r="E52" s="1134"/>
      <c r="F52" s="1141"/>
      <c r="G52" s="1141"/>
      <c r="H52" s="1141"/>
      <c r="I52" s="1141"/>
      <c r="J52" s="1141"/>
      <c r="K52" s="1135"/>
      <c r="L52" s="1141"/>
      <c r="M52" s="1141"/>
      <c r="N52" s="1141"/>
      <c r="O52" s="1141"/>
      <c r="P52" s="1141"/>
      <c r="Q52" s="1141"/>
      <c r="R52" s="1141"/>
      <c r="S52" s="1141"/>
      <c r="T52" s="1141"/>
      <c r="U52" s="1135"/>
      <c r="V52" s="1141"/>
      <c r="W52" s="1141"/>
      <c r="X52" s="1141"/>
      <c r="Y52" s="1141"/>
      <c r="Z52" s="1141"/>
      <c r="AA52" s="1141"/>
      <c r="AB52" s="1141"/>
      <c r="AC52" s="1141"/>
      <c r="AD52" s="1141"/>
      <c r="AE52" s="1135"/>
      <c r="AF52" s="1141"/>
      <c r="AG52" s="1135"/>
      <c r="AH52" s="1141"/>
      <c r="AI52" s="1141"/>
      <c r="AJ52" s="1142"/>
      <c r="AK52" s="1137">
        <f t="shared" si="2"/>
        <v>0</v>
      </c>
      <c r="AL52" s="1137">
        <f t="shared" si="2"/>
        <v>0</v>
      </c>
    </row>
    <row r="53" spans="1:38" hidden="1" outlineLevel="2" x14ac:dyDescent="0.3">
      <c r="A53" s="1130"/>
      <c r="B53" s="1138"/>
      <c r="C53" s="1139"/>
      <c r="D53" s="1140"/>
      <c r="E53" s="1134"/>
      <c r="F53" s="1141"/>
      <c r="G53" s="1141"/>
      <c r="H53" s="1141"/>
      <c r="I53" s="1141"/>
      <c r="J53" s="1141"/>
      <c r="K53" s="1135"/>
      <c r="L53" s="1141"/>
      <c r="M53" s="1141"/>
      <c r="N53" s="1141"/>
      <c r="O53" s="1141"/>
      <c r="P53" s="1141"/>
      <c r="Q53" s="1141"/>
      <c r="R53" s="1141"/>
      <c r="S53" s="1141"/>
      <c r="T53" s="1141"/>
      <c r="U53" s="1135"/>
      <c r="V53" s="1141"/>
      <c r="W53" s="1141"/>
      <c r="X53" s="1141"/>
      <c r="Y53" s="1141"/>
      <c r="Z53" s="1141"/>
      <c r="AA53" s="1141"/>
      <c r="AB53" s="1141"/>
      <c r="AC53" s="1141"/>
      <c r="AD53" s="1141"/>
      <c r="AE53" s="1135"/>
      <c r="AF53" s="1141"/>
      <c r="AG53" s="1135"/>
      <c r="AH53" s="1141"/>
      <c r="AI53" s="1141"/>
      <c r="AJ53" s="1142"/>
      <c r="AK53" s="1137">
        <f t="shared" si="2"/>
        <v>0</v>
      </c>
      <c r="AL53" s="1137">
        <f t="shared" si="2"/>
        <v>0</v>
      </c>
    </row>
    <row r="54" spans="1:38" hidden="1" outlineLevel="2" x14ac:dyDescent="0.3">
      <c r="A54" s="1130"/>
      <c r="B54" s="1138"/>
      <c r="C54" s="1139"/>
      <c r="D54" s="1140"/>
      <c r="E54" s="1134"/>
      <c r="F54" s="1141"/>
      <c r="G54" s="1141"/>
      <c r="H54" s="1141"/>
      <c r="I54" s="1141"/>
      <c r="J54" s="1141"/>
      <c r="K54" s="1135"/>
      <c r="L54" s="1141"/>
      <c r="M54" s="1141"/>
      <c r="N54" s="1141"/>
      <c r="O54" s="1141"/>
      <c r="P54" s="1141"/>
      <c r="Q54" s="1141"/>
      <c r="R54" s="1141"/>
      <c r="S54" s="1141"/>
      <c r="T54" s="1141"/>
      <c r="U54" s="1135"/>
      <c r="V54" s="1141"/>
      <c r="W54" s="1141"/>
      <c r="X54" s="1141"/>
      <c r="Y54" s="1141"/>
      <c r="Z54" s="1141"/>
      <c r="AA54" s="1141"/>
      <c r="AB54" s="1141"/>
      <c r="AC54" s="1141"/>
      <c r="AD54" s="1141"/>
      <c r="AE54" s="1135"/>
      <c r="AF54" s="1141"/>
      <c r="AG54" s="1135"/>
      <c r="AH54" s="1141"/>
      <c r="AI54" s="1141"/>
      <c r="AJ54" s="1142"/>
      <c r="AK54" s="1137">
        <f t="shared" si="2"/>
        <v>0</v>
      </c>
      <c r="AL54" s="1137">
        <f t="shared" si="2"/>
        <v>0</v>
      </c>
    </row>
    <row r="55" spans="1:38" hidden="1" outlineLevel="2" x14ac:dyDescent="0.3">
      <c r="A55" s="1130"/>
      <c r="B55" s="1138"/>
      <c r="C55" s="1139"/>
      <c r="D55" s="1140"/>
      <c r="E55" s="1134"/>
      <c r="F55" s="1141"/>
      <c r="G55" s="1141"/>
      <c r="H55" s="1141"/>
      <c r="I55" s="1141"/>
      <c r="J55" s="1141"/>
      <c r="K55" s="1135"/>
      <c r="L55" s="1141"/>
      <c r="M55" s="1141"/>
      <c r="N55" s="1141"/>
      <c r="O55" s="1141"/>
      <c r="P55" s="1141"/>
      <c r="Q55" s="1141"/>
      <c r="R55" s="1141"/>
      <c r="S55" s="1141"/>
      <c r="T55" s="1141"/>
      <c r="U55" s="1135"/>
      <c r="V55" s="1141"/>
      <c r="W55" s="1141"/>
      <c r="X55" s="1141"/>
      <c r="Y55" s="1141"/>
      <c r="Z55" s="1141"/>
      <c r="AA55" s="1141"/>
      <c r="AB55" s="1141"/>
      <c r="AC55" s="1141"/>
      <c r="AD55" s="1141"/>
      <c r="AE55" s="1135"/>
      <c r="AF55" s="1141"/>
      <c r="AG55" s="1135"/>
      <c r="AH55" s="1141"/>
      <c r="AI55" s="1141"/>
      <c r="AJ55" s="1142"/>
      <c r="AK55" s="1137">
        <f t="shared" si="2"/>
        <v>0</v>
      </c>
      <c r="AL55" s="1137">
        <f t="shared" si="2"/>
        <v>0</v>
      </c>
    </row>
    <row r="56" spans="1:38" hidden="1" outlineLevel="2" x14ac:dyDescent="0.3">
      <c r="A56" s="1130"/>
      <c r="B56" s="1138"/>
      <c r="C56" s="1139"/>
      <c r="D56" s="1140"/>
      <c r="E56" s="1134"/>
      <c r="F56" s="1141"/>
      <c r="G56" s="1141"/>
      <c r="H56" s="1141"/>
      <c r="I56" s="1141"/>
      <c r="J56" s="1141"/>
      <c r="K56" s="1135"/>
      <c r="L56" s="1141"/>
      <c r="M56" s="1141"/>
      <c r="N56" s="1141"/>
      <c r="O56" s="1141"/>
      <c r="P56" s="1141"/>
      <c r="Q56" s="1141"/>
      <c r="R56" s="1141"/>
      <c r="S56" s="1141"/>
      <c r="T56" s="1141"/>
      <c r="U56" s="1135"/>
      <c r="V56" s="1141"/>
      <c r="W56" s="1141"/>
      <c r="X56" s="1141"/>
      <c r="Y56" s="1141"/>
      <c r="Z56" s="1141"/>
      <c r="AA56" s="1141"/>
      <c r="AB56" s="1141"/>
      <c r="AC56" s="1141"/>
      <c r="AD56" s="1141"/>
      <c r="AE56" s="1135"/>
      <c r="AF56" s="1141"/>
      <c r="AG56" s="1135"/>
      <c r="AH56" s="1141"/>
      <c r="AI56" s="1141"/>
      <c r="AJ56" s="1142"/>
      <c r="AK56" s="1137">
        <f t="shared" si="2"/>
        <v>0</v>
      </c>
      <c r="AL56" s="1137">
        <f t="shared" si="2"/>
        <v>0</v>
      </c>
    </row>
    <row r="57" spans="1:38" hidden="1" outlineLevel="2" x14ac:dyDescent="0.3">
      <c r="A57" s="1130"/>
      <c r="B57" s="1138"/>
      <c r="C57" s="1139"/>
      <c r="D57" s="1140"/>
      <c r="E57" s="1134"/>
      <c r="F57" s="1141"/>
      <c r="G57" s="1141"/>
      <c r="H57" s="1141"/>
      <c r="I57" s="1141"/>
      <c r="J57" s="1141"/>
      <c r="K57" s="1135"/>
      <c r="L57" s="1141"/>
      <c r="M57" s="1141"/>
      <c r="N57" s="1141"/>
      <c r="O57" s="1141"/>
      <c r="P57" s="1141"/>
      <c r="Q57" s="1141"/>
      <c r="R57" s="1141"/>
      <c r="S57" s="1141"/>
      <c r="T57" s="1141"/>
      <c r="U57" s="1135"/>
      <c r="V57" s="1141"/>
      <c r="W57" s="1141"/>
      <c r="X57" s="1141"/>
      <c r="Y57" s="1141"/>
      <c r="Z57" s="1141"/>
      <c r="AA57" s="1141"/>
      <c r="AB57" s="1141"/>
      <c r="AC57" s="1141"/>
      <c r="AD57" s="1141"/>
      <c r="AE57" s="1135"/>
      <c r="AF57" s="1141"/>
      <c r="AG57" s="1135"/>
      <c r="AH57" s="1141"/>
      <c r="AI57" s="1141"/>
      <c r="AJ57" s="1142"/>
      <c r="AK57" s="1137">
        <f t="shared" si="2"/>
        <v>0</v>
      </c>
      <c r="AL57" s="1137">
        <f t="shared" si="2"/>
        <v>0</v>
      </c>
    </row>
    <row r="58" spans="1:38" hidden="1" outlineLevel="2" x14ac:dyDescent="0.3">
      <c r="A58" s="1130"/>
      <c r="B58" s="1138"/>
      <c r="C58" s="1139"/>
      <c r="D58" s="1140"/>
      <c r="E58" s="1134"/>
      <c r="F58" s="1141"/>
      <c r="G58" s="1141"/>
      <c r="H58" s="1141"/>
      <c r="I58" s="1141"/>
      <c r="J58" s="1141"/>
      <c r="K58" s="1135"/>
      <c r="L58" s="1141"/>
      <c r="M58" s="1141"/>
      <c r="N58" s="1141"/>
      <c r="O58" s="1141"/>
      <c r="P58" s="1141"/>
      <c r="Q58" s="1141"/>
      <c r="R58" s="1141"/>
      <c r="S58" s="1141"/>
      <c r="T58" s="1141"/>
      <c r="U58" s="1135"/>
      <c r="V58" s="1141"/>
      <c r="W58" s="1141"/>
      <c r="X58" s="1141"/>
      <c r="Y58" s="1141"/>
      <c r="Z58" s="1141"/>
      <c r="AA58" s="1141"/>
      <c r="AB58" s="1141"/>
      <c r="AC58" s="1141"/>
      <c r="AD58" s="1141"/>
      <c r="AE58" s="1135"/>
      <c r="AF58" s="1141"/>
      <c r="AG58" s="1135"/>
      <c r="AH58" s="1141"/>
      <c r="AI58" s="1141"/>
      <c r="AJ58" s="1142"/>
      <c r="AK58" s="1137">
        <f t="shared" si="2"/>
        <v>0</v>
      </c>
      <c r="AL58" s="1137">
        <f t="shared" si="2"/>
        <v>0</v>
      </c>
    </row>
    <row r="59" spans="1:38" hidden="1" outlineLevel="2" x14ac:dyDescent="0.3">
      <c r="A59" s="1130"/>
      <c r="B59" s="1138"/>
      <c r="C59" s="1139"/>
      <c r="D59" s="1140"/>
      <c r="E59" s="1134"/>
      <c r="F59" s="1141"/>
      <c r="G59" s="1141"/>
      <c r="H59" s="1141"/>
      <c r="I59" s="1141"/>
      <c r="J59" s="1141"/>
      <c r="K59" s="1135"/>
      <c r="L59" s="1141"/>
      <c r="M59" s="1141"/>
      <c r="N59" s="1141"/>
      <c r="O59" s="1141"/>
      <c r="P59" s="1141"/>
      <c r="Q59" s="1141"/>
      <c r="R59" s="1141"/>
      <c r="S59" s="1141"/>
      <c r="T59" s="1141"/>
      <c r="U59" s="1135"/>
      <c r="V59" s="1141"/>
      <c r="W59" s="1141"/>
      <c r="X59" s="1141"/>
      <c r="Y59" s="1141"/>
      <c r="Z59" s="1141"/>
      <c r="AA59" s="1141"/>
      <c r="AB59" s="1141"/>
      <c r="AC59" s="1141"/>
      <c r="AD59" s="1141"/>
      <c r="AE59" s="1135"/>
      <c r="AF59" s="1141"/>
      <c r="AG59" s="1135"/>
      <c r="AH59" s="1141"/>
      <c r="AI59" s="1141"/>
      <c r="AJ59" s="1142"/>
      <c r="AK59" s="1137">
        <f t="shared" si="2"/>
        <v>0</v>
      </c>
      <c r="AL59" s="1137">
        <f t="shared" si="2"/>
        <v>0</v>
      </c>
    </row>
    <row r="60" spans="1:38" hidden="1" outlineLevel="2" x14ac:dyDescent="0.3">
      <c r="A60" s="1130"/>
      <c r="B60" s="1138"/>
      <c r="C60" s="1139"/>
      <c r="D60" s="1140"/>
      <c r="E60" s="1134"/>
      <c r="F60" s="1141"/>
      <c r="G60" s="1141"/>
      <c r="H60" s="1141"/>
      <c r="I60" s="1141"/>
      <c r="J60" s="1141"/>
      <c r="K60" s="1135"/>
      <c r="L60" s="1141"/>
      <c r="M60" s="1141"/>
      <c r="N60" s="1141"/>
      <c r="O60" s="1141"/>
      <c r="P60" s="1141"/>
      <c r="Q60" s="1141"/>
      <c r="R60" s="1141"/>
      <c r="S60" s="1141"/>
      <c r="T60" s="1141"/>
      <c r="U60" s="1135"/>
      <c r="V60" s="1141"/>
      <c r="W60" s="1141"/>
      <c r="X60" s="1141"/>
      <c r="Y60" s="1141"/>
      <c r="Z60" s="1141"/>
      <c r="AA60" s="1141"/>
      <c r="AB60" s="1141"/>
      <c r="AC60" s="1141"/>
      <c r="AD60" s="1141"/>
      <c r="AE60" s="1135"/>
      <c r="AF60" s="1141"/>
      <c r="AG60" s="1135"/>
      <c r="AH60" s="1141"/>
      <c r="AI60" s="1141"/>
      <c r="AJ60" s="1142"/>
      <c r="AK60" s="1137">
        <f t="shared" si="2"/>
        <v>0</v>
      </c>
      <c r="AL60" s="1137">
        <f t="shared" si="2"/>
        <v>0</v>
      </c>
    </row>
    <row r="61" spans="1:38" hidden="1" outlineLevel="2" x14ac:dyDescent="0.3">
      <c r="A61" s="1130"/>
      <c r="B61" s="1138"/>
      <c r="C61" s="1139"/>
      <c r="D61" s="1140"/>
      <c r="E61" s="1134"/>
      <c r="F61" s="1141"/>
      <c r="G61" s="1141"/>
      <c r="H61" s="1141"/>
      <c r="I61" s="1141"/>
      <c r="J61" s="1141"/>
      <c r="K61" s="1135"/>
      <c r="L61" s="1141"/>
      <c r="M61" s="1141"/>
      <c r="N61" s="1141"/>
      <c r="O61" s="1141"/>
      <c r="P61" s="1141"/>
      <c r="Q61" s="1141"/>
      <c r="R61" s="1141"/>
      <c r="S61" s="1141"/>
      <c r="T61" s="1141"/>
      <c r="U61" s="1135"/>
      <c r="V61" s="1141"/>
      <c r="W61" s="1141"/>
      <c r="X61" s="1141"/>
      <c r="Y61" s="1141"/>
      <c r="Z61" s="1141"/>
      <c r="AA61" s="1141"/>
      <c r="AB61" s="1141"/>
      <c r="AC61" s="1141"/>
      <c r="AD61" s="1141"/>
      <c r="AE61" s="1135"/>
      <c r="AF61" s="1141"/>
      <c r="AG61" s="1135"/>
      <c r="AH61" s="1141"/>
      <c r="AI61" s="1141"/>
      <c r="AJ61" s="1142"/>
      <c r="AK61" s="1137">
        <f t="shared" si="2"/>
        <v>0</v>
      </c>
      <c r="AL61" s="1137">
        <f t="shared" si="2"/>
        <v>0</v>
      </c>
    </row>
    <row r="62" spans="1:38" hidden="1" outlineLevel="2" x14ac:dyDescent="0.3">
      <c r="A62" s="1130"/>
      <c r="B62" s="1138"/>
      <c r="C62" s="1139"/>
      <c r="D62" s="1140"/>
      <c r="E62" s="1134"/>
      <c r="F62" s="1141"/>
      <c r="G62" s="1141"/>
      <c r="H62" s="1141"/>
      <c r="I62" s="1141"/>
      <c r="J62" s="1141"/>
      <c r="K62" s="1135"/>
      <c r="L62" s="1141"/>
      <c r="M62" s="1141"/>
      <c r="N62" s="1141"/>
      <c r="O62" s="1141"/>
      <c r="P62" s="1141"/>
      <c r="Q62" s="1141"/>
      <c r="R62" s="1141"/>
      <c r="S62" s="1141"/>
      <c r="T62" s="1141"/>
      <c r="U62" s="1135"/>
      <c r="V62" s="1141"/>
      <c r="W62" s="1141"/>
      <c r="X62" s="1141"/>
      <c r="Y62" s="1141"/>
      <c r="Z62" s="1141"/>
      <c r="AA62" s="1141"/>
      <c r="AB62" s="1141"/>
      <c r="AC62" s="1141"/>
      <c r="AD62" s="1141"/>
      <c r="AE62" s="1135"/>
      <c r="AF62" s="1141"/>
      <c r="AG62" s="1135"/>
      <c r="AH62" s="1141"/>
      <c r="AI62" s="1141"/>
      <c r="AJ62" s="1142"/>
      <c r="AK62" s="1137">
        <f t="shared" si="2"/>
        <v>0</v>
      </c>
      <c r="AL62" s="1137">
        <f t="shared" si="2"/>
        <v>0</v>
      </c>
    </row>
    <row r="63" spans="1:38" hidden="1" outlineLevel="2" x14ac:dyDescent="0.3">
      <c r="A63" s="1130"/>
      <c r="B63" s="1138"/>
      <c r="C63" s="1139"/>
      <c r="D63" s="1140"/>
      <c r="E63" s="1134"/>
      <c r="F63" s="1141"/>
      <c r="G63" s="1141"/>
      <c r="H63" s="1141"/>
      <c r="I63" s="1141"/>
      <c r="J63" s="1141"/>
      <c r="K63" s="1135"/>
      <c r="L63" s="1141"/>
      <c r="M63" s="1141"/>
      <c r="N63" s="1141"/>
      <c r="O63" s="1141"/>
      <c r="P63" s="1141"/>
      <c r="Q63" s="1141"/>
      <c r="R63" s="1141"/>
      <c r="S63" s="1141"/>
      <c r="T63" s="1141"/>
      <c r="U63" s="1135"/>
      <c r="V63" s="1141"/>
      <c r="W63" s="1141"/>
      <c r="X63" s="1141"/>
      <c r="Y63" s="1141"/>
      <c r="Z63" s="1141"/>
      <c r="AA63" s="1141"/>
      <c r="AB63" s="1141"/>
      <c r="AC63" s="1141"/>
      <c r="AD63" s="1141"/>
      <c r="AE63" s="1135"/>
      <c r="AF63" s="1141"/>
      <c r="AG63" s="1135"/>
      <c r="AH63" s="1141"/>
      <c r="AI63" s="1141"/>
      <c r="AJ63" s="1142"/>
      <c r="AK63" s="1137">
        <f t="shared" si="2"/>
        <v>0</v>
      </c>
      <c r="AL63" s="1137">
        <f t="shared" si="2"/>
        <v>0</v>
      </c>
    </row>
    <row r="64" spans="1:38" hidden="1" outlineLevel="2" x14ac:dyDescent="0.3">
      <c r="A64" s="1130"/>
      <c r="B64" s="1138"/>
      <c r="C64" s="1139"/>
      <c r="D64" s="1140"/>
      <c r="E64" s="1134"/>
      <c r="F64" s="1141"/>
      <c r="G64" s="1141"/>
      <c r="H64" s="1141"/>
      <c r="I64" s="1141"/>
      <c r="J64" s="1141"/>
      <c r="K64" s="1135"/>
      <c r="L64" s="1141"/>
      <c r="M64" s="1141"/>
      <c r="N64" s="1141"/>
      <c r="O64" s="1141"/>
      <c r="P64" s="1141"/>
      <c r="Q64" s="1141"/>
      <c r="R64" s="1141"/>
      <c r="S64" s="1141"/>
      <c r="T64" s="1141"/>
      <c r="U64" s="1135"/>
      <c r="V64" s="1141"/>
      <c r="W64" s="1141"/>
      <c r="X64" s="1141"/>
      <c r="Y64" s="1141"/>
      <c r="Z64" s="1141"/>
      <c r="AA64" s="1141"/>
      <c r="AB64" s="1141"/>
      <c r="AC64" s="1141"/>
      <c r="AD64" s="1141"/>
      <c r="AE64" s="1135"/>
      <c r="AF64" s="1141"/>
      <c r="AG64" s="1135"/>
      <c r="AH64" s="1141"/>
      <c r="AI64" s="1141"/>
      <c r="AJ64" s="1142"/>
      <c r="AK64" s="1137">
        <f t="shared" si="2"/>
        <v>0</v>
      </c>
      <c r="AL64" s="1137">
        <f t="shared" si="2"/>
        <v>0</v>
      </c>
    </row>
    <row r="65" spans="1:38" hidden="1" outlineLevel="2" x14ac:dyDescent="0.3">
      <c r="A65" s="1130"/>
      <c r="B65" s="1138"/>
      <c r="C65" s="1139"/>
      <c r="D65" s="1140"/>
      <c r="E65" s="1134"/>
      <c r="F65" s="1141"/>
      <c r="G65" s="1141"/>
      <c r="H65" s="1141"/>
      <c r="I65" s="1141"/>
      <c r="J65" s="1141"/>
      <c r="K65" s="1135"/>
      <c r="L65" s="1141"/>
      <c r="M65" s="1141"/>
      <c r="N65" s="1141"/>
      <c r="O65" s="1141"/>
      <c r="P65" s="1141"/>
      <c r="Q65" s="1141"/>
      <c r="R65" s="1141"/>
      <c r="S65" s="1141"/>
      <c r="T65" s="1141"/>
      <c r="U65" s="1135"/>
      <c r="V65" s="1141"/>
      <c r="W65" s="1141"/>
      <c r="X65" s="1141"/>
      <c r="Y65" s="1141"/>
      <c r="Z65" s="1141"/>
      <c r="AA65" s="1141"/>
      <c r="AB65" s="1141"/>
      <c r="AC65" s="1141"/>
      <c r="AD65" s="1141"/>
      <c r="AE65" s="1135"/>
      <c r="AF65" s="1141"/>
      <c r="AG65" s="1135"/>
      <c r="AH65" s="1141"/>
      <c r="AI65" s="1141"/>
      <c r="AJ65" s="1142"/>
      <c r="AK65" s="1137">
        <f t="shared" si="2"/>
        <v>0</v>
      </c>
      <c r="AL65" s="1137">
        <f t="shared" si="2"/>
        <v>0</v>
      </c>
    </row>
    <row r="66" spans="1:38" hidden="1" outlineLevel="2" x14ac:dyDescent="0.3">
      <c r="A66" s="1130"/>
      <c r="B66" s="1138"/>
      <c r="C66" s="1139"/>
      <c r="D66" s="1140"/>
      <c r="E66" s="1134"/>
      <c r="F66" s="1141"/>
      <c r="G66" s="1141"/>
      <c r="H66" s="1141"/>
      <c r="I66" s="1141"/>
      <c r="J66" s="1141"/>
      <c r="K66" s="1135"/>
      <c r="L66" s="1141"/>
      <c r="M66" s="1141"/>
      <c r="N66" s="1141"/>
      <c r="O66" s="1141"/>
      <c r="P66" s="1141"/>
      <c r="Q66" s="1141"/>
      <c r="R66" s="1141"/>
      <c r="S66" s="1141"/>
      <c r="T66" s="1141"/>
      <c r="U66" s="1135"/>
      <c r="V66" s="1141"/>
      <c r="W66" s="1141"/>
      <c r="X66" s="1141"/>
      <c r="Y66" s="1141"/>
      <c r="Z66" s="1141"/>
      <c r="AA66" s="1141"/>
      <c r="AB66" s="1141"/>
      <c r="AC66" s="1141"/>
      <c r="AD66" s="1141"/>
      <c r="AE66" s="1135"/>
      <c r="AF66" s="1141"/>
      <c r="AG66" s="1135"/>
      <c r="AH66" s="1141"/>
      <c r="AI66" s="1141"/>
      <c r="AJ66" s="1142"/>
      <c r="AK66" s="1137">
        <f t="shared" si="2"/>
        <v>0</v>
      </c>
      <c r="AL66" s="1137">
        <f t="shared" si="2"/>
        <v>0</v>
      </c>
    </row>
    <row r="67" spans="1:38" hidden="1" outlineLevel="2" x14ac:dyDescent="0.3">
      <c r="A67" s="1130"/>
      <c r="B67" s="1138"/>
      <c r="C67" s="1139"/>
      <c r="D67" s="1140"/>
      <c r="E67" s="1134"/>
      <c r="F67" s="1141"/>
      <c r="G67" s="1141"/>
      <c r="H67" s="1141"/>
      <c r="I67" s="1141"/>
      <c r="J67" s="1141"/>
      <c r="K67" s="1135"/>
      <c r="L67" s="1141"/>
      <c r="M67" s="1141"/>
      <c r="N67" s="1141"/>
      <c r="O67" s="1141"/>
      <c r="P67" s="1141"/>
      <c r="Q67" s="1141"/>
      <c r="R67" s="1141"/>
      <c r="S67" s="1141"/>
      <c r="T67" s="1141"/>
      <c r="U67" s="1135"/>
      <c r="V67" s="1141"/>
      <c r="W67" s="1141"/>
      <c r="X67" s="1141"/>
      <c r="Y67" s="1141"/>
      <c r="Z67" s="1141"/>
      <c r="AA67" s="1141"/>
      <c r="AB67" s="1141"/>
      <c r="AC67" s="1141"/>
      <c r="AD67" s="1141"/>
      <c r="AE67" s="1135"/>
      <c r="AF67" s="1141"/>
      <c r="AG67" s="1135"/>
      <c r="AH67" s="1141"/>
      <c r="AI67" s="1141"/>
      <c r="AJ67" s="1142"/>
      <c r="AK67" s="1137">
        <f t="shared" si="2"/>
        <v>0</v>
      </c>
      <c r="AL67" s="1137">
        <f t="shared" si="2"/>
        <v>0</v>
      </c>
    </row>
    <row r="68" spans="1:38" hidden="1" outlineLevel="2" x14ac:dyDescent="0.3">
      <c r="A68" s="1130"/>
      <c r="B68" s="1138"/>
      <c r="C68" s="1139"/>
      <c r="D68" s="1140"/>
      <c r="E68" s="1134"/>
      <c r="F68" s="1141"/>
      <c r="G68" s="1141"/>
      <c r="H68" s="1141"/>
      <c r="I68" s="1141"/>
      <c r="J68" s="1141"/>
      <c r="K68" s="1135"/>
      <c r="L68" s="1141"/>
      <c r="M68" s="1141"/>
      <c r="N68" s="1141"/>
      <c r="O68" s="1141"/>
      <c r="P68" s="1141"/>
      <c r="Q68" s="1141"/>
      <c r="R68" s="1141"/>
      <c r="S68" s="1141"/>
      <c r="T68" s="1141"/>
      <c r="U68" s="1135"/>
      <c r="V68" s="1141"/>
      <c r="W68" s="1141"/>
      <c r="X68" s="1141"/>
      <c r="Y68" s="1141"/>
      <c r="Z68" s="1141"/>
      <c r="AA68" s="1141"/>
      <c r="AB68" s="1141"/>
      <c r="AC68" s="1141"/>
      <c r="AD68" s="1141"/>
      <c r="AE68" s="1135"/>
      <c r="AF68" s="1141"/>
      <c r="AG68" s="1135"/>
      <c r="AH68" s="1141"/>
      <c r="AI68" s="1141"/>
      <c r="AJ68" s="1142"/>
      <c r="AK68" s="1137">
        <f t="shared" si="2"/>
        <v>0</v>
      </c>
      <c r="AL68" s="1137">
        <f t="shared" si="2"/>
        <v>0</v>
      </c>
    </row>
    <row r="69" spans="1:38" hidden="1" outlineLevel="2" x14ac:dyDescent="0.3">
      <c r="A69" s="1130"/>
      <c r="B69" s="1138"/>
      <c r="C69" s="1139"/>
      <c r="D69" s="1140"/>
      <c r="E69" s="1134"/>
      <c r="F69" s="1141"/>
      <c r="G69" s="1141"/>
      <c r="H69" s="1141"/>
      <c r="I69" s="1141"/>
      <c r="J69" s="1141"/>
      <c r="K69" s="1135"/>
      <c r="L69" s="1141"/>
      <c r="M69" s="1141"/>
      <c r="N69" s="1141"/>
      <c r="O69" s="1141"/>
      <c r="P69" s="1141"/>
      <c r="Q69" s="1141"/>
      <c r="R69" s="1141"/>
      <c r="S69" s="1141"/>
      <c r="T69" s="1141"/>
      <c r="U69" s="1135"/>
      <c r="V69" s="1141"/>
      <c r="W69" s="1141"/>
      <c r="X69" s="1141"/>
      <c r="Y69" s="1141"/>
      <c r="Z69" s="1141"/>
      <c r="AA69" s="1141"/>
      <c r="AB69" s="1141"/>
      <c r="AC69" s="1141"/>
      <c r="AD69" s="1141"/>
      <c r="AE69" s="1135"/>
      <c r="AF69" s="1141"/>
      <c r="AG69" s="1135"/>
      <c r="AH69" s="1141"/>
      <c r="AI69" s="1141"/>
      <c r="AJ69" s="1142"/>
      <c r="AK69" s="1137">
        <f t="shared" si="2"/>
        <v>0</v>
      </c>
      <c r="AL69" s="1137">
        <f t="shared" si="2"/>
        <v>0</v>
      </c>
    </row>
    <row r="70" spans="1:38" hidden="1" outlineLevel="2" x14ac:dyDescent="0.3">
      <c r="A70" s="1130"/>
      <c r="B70" s="1138"/>
      <c r="C70" s="1139"/>
      <c r="D70" s="1140"/>
      <c r="E70" s="1134"/>
      <c r="F70" s="1141"/>
      <c r="G70" s="1141"/>
      <c r="H70" s="1141"/>
      <c r="I70" s="1141"/>
      <c r="J70" s="1141"/>
      <c r="K70" s="1135"/>
      <c r="L70" s="1141"/>
      <c r="M70" s="1141"/>
      <c r="N70" s="1141"/>
      <c r="O70" s="1141"/>
      <c r="P70" s="1141"/>
      <c r="Q70" s="1141"/>
      <c r="R70" s="1141"/>
      <c r="S70" s="1141"/>
      <c r="T70" s="1141"/>
      <c r="U70" s="1135"/>
      <c r="V70" s="1141"/>
      <c r="W70" s="1141"/>
      <c r="X70" s="1141"/>
      <c r="Y70" s="1141"/>
      <c r="Z70" s="1141"/>
      <c r="AA70" s="1141"/>
      <c r="AB70" s="1141"/>
      <c r="AC70" s="1141"/>
      <c r="AD70" s="1141"/>
      <c r="AE70" s="1135"/>
      <c r="AF70" s="1141"/>
      <c r="AG70" s="1135"/>
      <c r="AH70" s="1141"/>
      <c r="AI70" s="1141"/>
      <c r="AJ70" s="1142"/>
      <c r="AK70" s="1137">
        <f t="shared" ref="AK70:AL87" si="3">SUM(E70,G70,I70)-SUM(K70,M70,O70,Q70,S70,U70,W70,Y70,AA70,AC70,AE70,AG70,AI70)</f>
        <v>0</v>
      </c>
      <c r="AL70" s="1137">
        <f t="shared" si="3"/>
        <v>0</v>
      </c>
    </row>
    <row r="71" spans="1:38" hidden="1" outlineLevel="2" x14ac:dyDescent="0.3">
      <c r="A71" s="1130"/>
      <c r="B71" s="1138"/>
      <c r="C71" s="1139"/>
      <c r="D71" s="1140"/>
      <c r="E71" s="1134"/>
      <c r="F71" s="1141"/>
      <c r="G71" s="1141"/>
      <c r="H71" s="1141"/>
      <c r="I71" s="1141"/>
      <c r="J71" s="1141"/>
      <c r="K71" s="1135"/>
      <c r="L71" s="1141"/>
      <c r="M71" s="1141"/>
      <c r="N71" s="1141"/>
      <c r="O71" s="1141"/>
      <c r="P71" s="1141"/>
      <c r="Q71" s="1141"/>
      <c r="R71" s="1141"/>
      <c r="S71" s="1141"/>
      <c r="T71" s="1141"/>
      <c r="U71" s="1135"/>
      <c r="V71" s="1141"/>
      <c r="W71" s="1141"/>
      <c r="X71" s="1141"/>
      <c r="Y71" s="1141"/>
      <c r="Z71" s="1141"/>
      <c r="AA71" s="1141"/>
      <c r="AB71" s="1141"/>
      <c r="AC71" s="1141"/>
      <c r="AD71" s="1141"/>
      <c r="AE71" s="1135"/>
      <c r="AF71" s="1141"/>
      <c r="AG71" s="1135"/>
      <c r="AH71" s="1141"/>
      <c r="AI71" s="1141"/>
      <c r="AJ71" s="1142"/>
      <c r="AK71" s="1137">
        <f t="shared" si="3"/>
        <v>0</v>
      </c>
      <c r="AL71" s="1137">
        <f t="shared" si="3"/>
        <v>0</v>
      </c>
    </row>
    <row r="72" spans="1:38" hidden="1" outlineLevel="2" x14ac:dyDescent="0.3">
      <c r="A72" s="1130"/>
      <c r="B72" s="1138"/>
      <c r="C72" s="1139"/>
      <c r="D72" s="1140"/>
      <c r="E72" s="1134"/>
      <c r="F72" s="1141"/>
      <c r="G72" s="1141"/>
      <c r="H72" s="1141"/>
      <c r="I72" s="1141"/>
      <c r="J72" s="1141"/>
      <c r="K72" s="1135"/>
      <c r="L72" s="1141"/>
      <c r="M72" s="1141"/>
      <c r="N72" s="1141"/>
      <c r="O72" s="1141"/>
      <c r="P72" s="1141"/>
      <c r="Q72" s="1141"/>
      <c r="R72" s="1141"/>
      <c r="S72" s="1141"/>
      <c r="T72" s="1141"/>
      <c r="U72" s="1135"/>
      <c r="V72" s="1141"/>
      <c r="W72" s="1141"/>
      <c r="X72" s="1141"/>
      <c r="Y72" s="1141"/>
      <c r="Z72" s="1141"/>
      <c r="AA72" s="1141"/>
      <c r="AB72" s="1141"/>
      <c r="AC72" s="1141"/>
      <c r="AD72" s="1141"/>
      <c r="AE72" s="1135"/>
      <c r="AF72" s="1141"/>
      <c r="AG72" s="1135"/>
      <c r="AH72" s="1141"/>
      <c r="AI72" s="1141"/>
      <c r="AJ72" s="1142"/>
      <c r="AK72" s="1137">
        <f t="shared" si="3"/>
        <v>0</v>
      </c>
      <c r="AL72" s="1137">
        <f t="shared" si="3"/>
        <v>0</v>
      </c>
    </row>
    <row r="73" spans="1:38" hidden="1" outlineLevel="2" x14ac:dyDescent="0.3">
      <c r="A73" s="1130"/>
      <c r="B73" s="1138"/>
      <c r="C73" s="1139"/>
      <c r="D73" s="1140"/>
      <c r="E73" s="1134"/>
      <c r="F73" s="1141"/>
      <c r="G73" s="1141"/>
      <c r="H73" s="1141"/>
      <c r="I73" s="1141"/>
      <c r="J73" s="1141"/>
      <c r="K73" s="1135"/>
      <c r="L73" s="1141"/>
      <c r="M73" s="1141"/>
      <c r="N73" s="1141"/>
      <c r="O73" s="1141"/>
      <c r="P73" s="1141"/>
      <c r="Q73" s="1141"/>
      <c r="R73" s="1141"/>
      <c r="S73" s="1141"/>
      <c r="T73" s="1141"/>
      <c r="U73" s="1135"/>
      <c r="V73" s="1141"/>
      <c r="W73" s="1141"/>
      <c r="X73" s="1141"/>
      <c r="Y73" s="1141"/>
      <c r="Z73" s="1141"/>
      <c r="AA73" s="1141"/>
      <c r="AB73" s="1141"/>
      <c r="AC73" s="1141"/>
      <c r="AD73" s="1141"/>
      <c r="AE73" s="1135"/>
      <c r="AF73" s="1141"/>
      <c r="AG73" s="1135"/>
      <c r="AH73" s="1141"/>
      <c r="AI73" s="1141"/>
      <c r="AJ73" s="1142"/>
      <c r="AK73" s="1137">
        <f t="shared" si="3"/>
        <v>0</v>
      </c>
      <c r="AL73" s="1137">
        <f t="shared" si="3"/>
        <v>0</v>
      </c>
    </row>
    <row r="74" spans="1:38" hidden="1" outlineLevel="2" x14ac:dyDescent="0.3">
      <c r="A74" s="1130"/>
      <c r="B74" s="1138"/>
      <c r="C74" s="1139"/>
      <c r="D74" s="1140"/>
      <c r="E74" s="1134"/>
      <c r="F74" s="1141"/>
      <c r="G74" s="1141"/>
      <c r="H74" s="1141"/>
      <c r="I74" s="1141"/>
      <c r="J74" s="1141"/>
      <c r="K74" s="1135"/>
      <c r="L74" s="1141"/>
      <c r="M74" s="1141"/>
      <c r="N74" s="1141"/>
      <c r="O74" s="1141"/>
      <c r="P74" s="1141"/>
      <c r="Q74" s="1141"/>
      <c r="R74" s="1141"/>
      <c r="S74" s="1141"/>
      <c r="T74" s="1141"/>
      <c r="U74" s="1135"/>
      <c r="V74" s="1141"/>
      <c r="W74" s="1141"/>
      <c r="X74" s="1141"/>
      <c r="Y74" s="1141"/>
      <c r="Z74" s="1141"/>
      <c r="AA74" s="1141"/>
      <c r="AB74" s="1141"/>
      <c r="AC74" s="1141"/>
      <c r="AD74" s="1141"/>
      <c r="AE74" s="1135"/>
      <c r="AF74" s="1141"/>
      <c r="AG74" s="1135"/>
      <c r="AH74" s="1141"/>
      <c r="AI74" s="1141"/>
      <c r="AJ74" s="1142"/>
      <c r="AK74" s="1137">
        <f t="shared" si="3"/>
        <v>0</v>
      </c>
      <c r="AL74" s="1137">
        <f t="shared" si="3"/>
        <v>0</v>
      </c>
    </row>
    <row r="75" spans="1:38" hidden="1" outlineLevel="2" x14ac:dyDescent="0.3">
      <c r="A75" s="1130"/>
      <c r="B75" s="1138"/>
      <c r="C75" s="1139"/>
      <c r="D75" s="1140"/>
      <c r="E75" s="1134"/>
      <c r="F75" s="1141"/>
      <c r="G75" s="1141"/>
      <c r="H75" s="1141"/>
      <c r="I75" s="1141"/>
      <c r="J75" s="1141"/>
      <c r="K75" s="1135"/>
      <c r="L75" s="1141"/>
      <c r="M75" s="1141"/>
      <c r="N75" s="1141"/>
      <c r="O75" s="1141"/>
      <c r="P75" s="1141"/>
      <c r="Q75" s="1141"/>
      <c r="R75" s="1141"/>
      <c r="S75" s="1141"/>
      <c r="T75" s="1141"/>
      <c r="U75" s="1135"/>
      <c r="V75" s="1141"/>
      <c r="W75" s="1141"/>
      <c r="X75" s="1141"/>
      <c r="Y75" s="1141"/>
      <c r="Z75" s="1141"/>
      <c r="AA75" s="1141"/>
      <c r="AB75" s="1141"/>
      <c r="AC75" s="1141"/>
      <c r="AD75" s="1141"/>
      <c r="AE75" s="1135"/>
      <c r="AF75" s="1141"/>
      <c r="AG75" s="1135"/>
      <c r="AH75" s="1141"/>
      <c r="AI75" s="1141"/>
      <c r="AJ75" s="1142"/>
      <c r="AK75" s="1137">
        <f t="shared" si="3"/>
        <v>0</v>
      </c>
      <c r="AL75" s="1137">
        <f t="shared" si="3"/>
        <v>0</v>
      </c>
    </row>
    <row r="76" spans="1:38" hidden="1" outlineLevel="2" x14ac:dyDescent="0.3">
      <c r="A76" s="1130"/>
      <c r="B76" s="1138"/>
      <c r="C76" s="1139"/>
      <c r="D76" s="1140"/>
      <c r="E76" s="1134"/>
      <c r="F76" s="1141"/>
      <c r="G76" s="1141"/>
      <c r="H76" s="1141"/>
      <c r="I76" s="1141"/>
      <c r="J76" s="1141"/>
      <c r="K76" s="1135"/>
      <c r="L76" s="1141"/>
      <c r="M76" s="1141"/>
      <c r="N76" s="1141"/>
      <c r="O76" s="1141"/>
      <c r="P76" s="1141"/>
      <c r="Q76" s="1141"/>
      <c r="R76" s="1141"/>
      <c r="S76" s="1141"/>
      <c r="T76" s="1141"/>
      <c r="U76" s="1135"/>
      <c r="V76" s="1141"/>
      <c r="W76" s="1141"/>
      <c r="X76" s="1141"/>
      <c r="Y76" s="1141"/>
      <c r="Z76" s="1141"/>
      <c r="AA76" s="1141"/>
      <c r="AB76" s="1141"/>
      <c r="AC76" s="1141"/>
      <c r="AD76" s="1141"/>
      <c r="AE76" s="1135"/>
      <c r="AF76" s="1141"/>
      <c r="AG76" s="1135"/>
      <c r="AH76" s="1141"/>
      <c r="AI76" s="1141"/>
      <c r="AJ76" s="1142"/>
      <c r="AK76" s="1137">
        <f t="shared" si="3"/>
        <v>0</v>
      </c>
      <c r="AL76" s="1137">
        <f t="shared" si="3"/>
        <v>0</v>
      </c>
    </row>
    <row r="77" spans="1:38" hidden="1" outlineLevel="2" x14ac:dyDescent="0.3">
      <c r="A77" s="1130"/>
      <c r="B77" s="1138"/>
      <c r="C77" s="1139"/>
      <c r="D77" s="1140"/>
      <c r="E77" s="1134"/>
      <c r="F77" s="1141"/>
      <c r="G77" s="1141"/>
      <c r="H77" s="1141"/>
      <c r="I77" s="1141"/>
      <c r="J77" s="1141"/>
      <c r="K77" s="1135"/>
      <c r="L77" s="1141"/>
      <c r="M77" s="1141"/>
      <c r="N77" s="1141"/>
      <c r="O77" s="1141"/>
      <c r="P77" s="1141"/>
      <c r="Q77" s="1141"/>
      <c r="R77" s="1141"/>
      <c r="S77" s="1141"/>
      <c r="T77" s="1141"/>
      <c r="U77" s="1135"/>
      <c r="V77" s="1141"/>
      <c r="W77" s="1141"/>
      <c r="X77" s="1141"/>
      <c r="Y77" s="1141"/>
      <c r="Z77" s="1141"/>
      <c r="AA77" s="1141"/>
      <c r="AB77" s="1141"/>
      <c r="AC77" s="1141"/>
      <c r="AD77" s="1141"/>
      <c r="AE77" s="1135"/>
      <c r="AF77" s="1141"/>
      <c r="AG77" s="1135"/>
      <c r="AH77" s="1141"/>
      <c r="AI77" s="1141"/>
      <c r="AJ77" s="1142"/>
      <c r="AK77" s="1137">
        <f t="shared" si="3"/>
        <v>0</v>
      </c>
      <c r="AL77" s="1137">
        <f t="shared" si="3"/>
        <v>0</v>
      </c>
    </row>
    <row r="78" spans="1:38" hidden="1" outlineLevel="2" x14ac:dyDescent="0.3">
      <c r="A78" s="1130"/>
      <c r="B78" s="1138"/>
      <c r="C78" s="1139"/>
      <c r="D78" s="1140"/>
      <c r="E78" s="1134"/>
      <c r="F78" s="1141"/>
      <c r="G78" s="1141"/>
      <c r="H78" s="1141"/>
      <c r="I78" s="1141"/>
      <c r="J78" s="1141"/>
      <c r="K78" s="1135"/>
      <c r="L78" s="1141"/>
      <c r="M78" s="1141"/>
      <c r="N78" s="1141"/>
      <c r="O78" s="1141"/>
      <c r="P78" s="1141"/>
      <c r="Q78" s="1141"/>
      <c r="R78" s="1141"/>
      <c r="S78" s="1141"/>
      <c r="T78" s="1141"/>
      <c r="U78" s="1135"/>
      <c r="V78" s="1141"/>
      <c r="W78" s="1141"/>
      <c r="X78" s="1141"/>
      <c r="Y78" s="1141"/>
      <c r="Z78" s="1141"/>
      <c r="AA78" s="1141"/>
      <c r="AB78" s="1141"/>
      <c r="AC78" s="1141"/>
      <c r="AD78" s="1141"/>
      <c r="AE78" s="1135"/>
      <c r="AF78" s="1141"/>
      <c r="AG78" s="1135"/>
      <c r="AH78" s="1141"/>
      <c r="AI78" s="1141"/>
      <c r="AJ78" s="1142"/>
      <c r="AK78" s="1137">
        <f t="shared" si="3"/>
        <v>0</v>
      </c>
      <c r="AL78" s="1137">
        <f t="shared" si="3"/>
        <v>0</v>
      </c>
    </row>
    <row r="79" spans="1:38" hidden="1" outlineLevel="2" x14ac:dyDescent="0.3">
      <c r="A79" s="1130"/>
      <c r="B79" s="1138"/>
      <c r="C79" s="1139"/>
      <c r="D79" s="1140"/>
      <c r="E79" s="1134"/>
      <c r="F79" s="1141"/>
      <c r="G79" s="1141"/>
      <c r="H79" s="1141"/>
      <c r="I79" s="1141"/>
      <c r="J79" s="1141"/>
      <c r="K79" s="1135"/>
      <c r="L79" s="1141"/>
      <c r="M79" s="1141"/>
      <c r="N79" s="1141"/>
      <c r="O79" s="1141"/>
      <c r="P79" s="1141"/>
      <c r="Q79" s="1141"/>
      <c r="R79" s="1141"/>
      <c r="S79" s="1141"/>
      <c r="T79" s="1141"/>
      <c r="U79" s="1135"/>
      <c r="V79" s="1141"/>
      <c r="W79" s="1141"/>
      <c r="X79" s="1141"/>
      <c r="Y79" s="1141"/>
      <c r="Z79" s="1141"/>
      <c r="AA79" s="1141"/>
      <c r="AB79" s="1141"/>
      <c r="AC79" s="1141"/>
      <c r="AD79" s="1141"/>
      <c r="AE79" s="1135"/>
      <c r="AF79" s="1141"/>
      <c r="AG79" s="1135"/>
      <c r="AH79" s="1141"/>
      <c r="AI79" s="1141"/>
      <c r="AJ79" s="1142"/>
      <c r="AK79" s="1137">
        <f t="shared" si="3"/>
        <v>0</v>
      </c>
      <c r="AL79" s="1137">
        <f t="shared" si="3"/>
        <v>0</v>
      </c>
    </row>
    <row r="80" spans="1:38" hidden="1" outlineLevel="2" x14ac:dyDescent="0.3">
      <c r="A80" s="1130"/>
      <c r="B80" s="1138"/>
      <c r="C80" s="1139"/>
      <c r="D80" s="1140"/>
      <c r="E80" s="1134"/>
      <c r="F80" s="1141"/>
      <c r="G80" s="1141"/>
      <c r="H80" s="1141"/>
      <c r="I80" s="1141"/>
      <c r="J80" s="1141"/>
      <c r="K80" s="1135"/>
      <c r="L80" s="1141"/>
      <c r="M80" s="1141"/>
      <c r="N80" s="1141"/>
      <c r="O80" s="1141"/>
      <c r="P80" s="1141"/>
      <c r="Q80" s="1141"/>
      <c r="R80" s="1141"/>
      <c r="S80" s="1141"/>
      <c r="T80" s="1141"/>
      <c r="U80" s="1135"/>
      <c r="V80" s="1141"/>
      <c r="W80" s="1141"/>
      <c r="X80" s="1141"/>
      <c r="Y80" s="1141"/>
      <c r="Z80" s="1141"/>
      <c r="AA80" s="1141"/>
      <c r="AB80" s="1141"/>
      <c r="AC80" s="1141"/>
      <c r="AD80" s="1141"/>
      <c r="AE80" s="1135"/>
      <c r="AF80" s="1141"/>
      <c r="AG80" s="1135"/>
      <c r="AH80" s="1141"/>
      <c r="AI80" s="1141"/>
      <c r="AJ80" s="1142"/>
      <c r="AK80" s="1137">
        <f t="shared" si="3"/>
        <v>0</v>
      </c>
      <c r="AL80" s="1137">
        <f t="shared" si="3"/>
        <v>0</v>
      </c>
    </row>
    <row r="81" spans="1:38" hidden="1" outlineLevel="2" x14ac:dyDescent="0.3">
      <c r="A81" s="1130"/>
      <c r="B81" s="1138"/>
      <c r="C81" s="1139"/>
      <c r="D81" s="1140"/>
      <c r="E81" s="1134"/>
      <c r="F81" s="1141"/>
      <c r="G81" s="1141"/>
      <c r="H81" s="1141"/>
      <c r="I81" s="1141"/>
      <c r="J81" s="1141"/>
      <c r="K81" s="1135"/>
      <c r="L81" s="1141"/>
      <c r="M81" s="1141"/>
      <c r="N81" s="1141"/>
      <c r="O81" s="1141"/>
      <c r="P81" s="1141"/>
      <c r="Q81" s="1141"/>
      <c r="R81" s="1141"/>
      <c r="S81" s="1141"/>
      <c r="T81" s="1141"/>
      <c r="U81" s="1135"/>
      <c r="V81" s="1141"/>
      <c r="W81" s="1141"/>
      <c r="X81" s="1141"/>
      <c r="Y81" s="1141"/>
      <c r="Z81" s="1141"/>
      <c r="AA81" s="1141"/>
      <c r="AB81" s="1141"/>
      <c r="AC81" s="1141"/>
      <c r="AD81" s="1141"/>
      <c r="AE81" s="1135"/>
      <c r="AF81" s="1141"/>
      <c r="AG81" s="1135"/>
      <c r="AH81" s="1141"/>
      <c r="AI81" s="1141"/>
      <c r="AJ81" s="1142"/>
      <c r="AK81" s="1137">
        <f t="shared" si="3"/>
        <v>0</v>
      </c>
      <c r="AL81" s="1137">
        <f t="shared" si="3"/>
        <v>0</v>
      </c>
    </row>
    <row r="82" spans="1:38" hidden="1" outlineLevel="2" x14ac:dyDescent="0.3">
      <c r="A82" s="1130"/>
      <c r="B82" s="1138"/>
      <c r="C82" s="1139"/>
      <c r="D82" s="1140"/>
      <c r="E82" s="1134"/>
      <c r="F82" s="1141"/>
      <c r="G82" s="1141"/>
      <c r="H82" s="1141"/>
      <c r="I82" s="1141"/>
      <c r="J82" s="1141"/>
      <c r="K82" s="1135"/>
      <c r="L82" s="1141"/>
      <c r="M82" s="1141"/>
      <c r="N82" s="1141"/>
      <c r="O82" s="1141"/>
      <c r="P82" s="1141"/>
      <c r="Q82" s="1141"/>
      <c r="R82" s="1141"/>
      <c r="S82" s="1141"/>
      <c r="T82" s="1141"/>
      <c r="U82" s="1135"/>
      <c r="V82" s="1141"/>
      <c r="W82" s="1141"/>
      <c r="X82" s="1141"/>
      <c r="Y82" s="1141"/>
      <c r="Z82" s="1141"/>
      <c r="AA82" s="1141"/>
      <c r="AB82" s="1141"/>
      <c r="AC82" s="1141"/>
      <c r="AD82" s="1141"/>
      <c r="AE82" s="1135"/>
      <c r="AF82" s="1141"/>
      <c r="AG82" s="1135"/>
      <c r="AH82" s="1141"/>
      <c r="AI82" s="1141"/>
      <c r="AJ82" s="1142"/>
      <c r="AK82" s="1137">
        <f t="shared" si="3"/>
        <v>0</v>
      </c>
      <c r="AL82" s="1137">
        <f t="shared" si="3"/>
        <v>0</v>
      </c>
    </row>
    <row r="83" spans="1:38" hidden="1" outlineLevel="2" x14ac:dyDescent="0.3">
      <c r="A83" s="1130"/>
      <c r="B83" s="1138"/>
      <c r="C83" s="1139"/>
      <c r="D83" s="1140"/>
      <c r="E83" s="1134"/>
      <c r="F83" s="1141"/>
      <c r="G83" s="1141"/>
      <c r="H83" s="1141"/>
      <c r="I83" s="1141"/>
      <c r="J83" s="1141"/>
      <c r="K83" s="1135"/>
      <c r="L83" s="1141"/>
      <c r="M83" s="1141"/>
      <c r="N83" s="1141"/>
      <c r="O83" s="1141"/>
      <c r="P83" s="1141"/>
      <c r="Q83" s="1141"/>
      <c r="R83" s="1141"/>
      <c r="S83" s="1141"/>
      <c r="T83" s="1141"/>
      <c r="U83" s="1135"/>
      <c r="V83" s="1141"/>
      <c r="W83" s="1141"/>
      <c r="X83" s="1141"/>
      <c r="Y83" s="1141"/>
      <c r="Z83" s="1141"/>
      <c r="AA83" s="1141"/>
      <c r="AB83" s="1141"/>
      <c r="AC83" s="1141"/>
      <c r="AD83" s="1141"/>
      <c r="AE83" s="1135"/>
      <c r="AF83" s="1141"/>
      <c r="AG83" s="1135"/>
      <c r="AH83" s="1141"/>
      <c r="AI83" s="1141"/>
      <c r="AJ83" s="1142"/>
      <c r="AK83" s="1137">
        <f t="shared" si="3"/>
        <v>0</v>
      </c>
      <c r="AL83" s="1137">
        <f t="shared" si="3"/>
        <v>0</v>
      </c>
    </row>
    <row r="84" spans="1:38" hidden="1" outlineLevel="2" x14ac:dyDescent="0.3">
      <c r="A84" s="1130"/>
      <c r="B84" s="1138"/>
      <c r="C84" s="1139"/>
      <c r="D84" s="1140"/>
      <c r="E84" s="1134"/>
      <c r="F84" s="1141"/>
      <c r="G84" s="1141"/>
      <c r="H84" s="1141"/>
      <c r="I84" s="1141"/>
      <c r="J84" s="1141"/>
      <c r="K84" s="1135"/>
      <c r="L84" s="1141"/>
      <c r="M84" s="1141"/>
      <c r="N84" s="1141"/>
      <c r="O84" s="1141"/>
      <c r="P84" s="1141"/>
      <c r="Q84" s="1141"/>
      <c r="R84" s="1141"/>
      <c r="S84" s="1141"/>
      <c r="T84" s="1141"/>
      <c r="U84" s="1135"/>
      <c r="V84" s="1141"/>
      <c r="W84" s="1141"/>
      <c r="X84" s="1141"/>
      <c r="Y84" s="1141"/>
      <c r="Z84" s="1141"/>
      <c r="AA84" s="1141"/>
      <c r="AB84" s="1141"/>
      <c r="AC84" s="1141"/>
      <c r="AD84" s="1141"/>
      <c r="AE84" s="1135"/>
      <c r="AF84" s="1141"/>
      <c r="AG84" s="1135"/>
      <c r="AH84" s="1141"/>
      <c r="AI84" s="1141"/>
      <c r="AJ84" s="1142"/>
      <c r="AK84" s="1137">
        <f t="shared" si="3"/>
        <v>0</v>
      </c>
      <c r="AL84" s="1137">
        <f t="shared" si="3"/>
        <v>0</v>
      </c>
    </row>
    <row r="85" spans="1:38" hidden="1" outlineLevel="2" x14ac:dyDescent="0.3">
      <c r="A85" s="1130"/>
      <c r="B85" s="1138"/>
      <c r="C85" s="1139"/>
      <c r="D85" s="1140"/>
      <c r="E85" s="1134"/>
      <c r="F85" s="1141"/>
      <c r="G85" s="1141"/>
      <c r="H85" s="1141"/>
      <c r="I85" s="1141"/>
      <c r="J85" s="1141"/>
      <c r="K85" s="1135"/>
      <c r="L85" s="1141"/>
      <c r="M85" s="1141"/>
      <c r="N85" s="1141"/>
      <c r="O85" s="1141"/>
      <c r="P85" s="1141"/>
      <c r="Q85" s="1141"/>
      <c r="R85" s="1141"/>
      <c r="S85" s="1141"/>
      <c r="T85" s="1141"/>
      <c r="U85" s="1135"/>
      <c r="V85" s="1141"/>
      <c r="W85" s="1141"/>
      <c r="X85" s="1141"/>
      <c r="Y85" s="1141"/>
      <c r="Z85" s="1141"/>
      <c r="AA85" s="1141"/>
      <c r="AB85" s="1141"/>
      <c r="AC85" s="1141"/>
      <c r="AD85" s="1141"/>
      <c r="AE85" s="1135"/>
      <c r="AF85" s="1141"/>
      <c r="AG85" s="1135"/>
      <c r="AH85" s="1141"/>
      <c r="AI85" s="1141"/>
      <c r="AJ85" s="1142"/>
      <c r="AK85" s="1137">
        <f t="shared" si="3"/>
        <v>0</v>
      </c>
      <c r="AL85" s="1137">
        <f t="shared" si="3"/>
        <v>0</v>
      </c>
    </row>
    <row r="86" spans="1:38" hidden="1" outlineLevel="2" x14ac:dyDescent="0.3">
      <c r="A86" s="1130"/>
      <c r="B86" s="1138"/>
      <c r="C86" s="1139"/>
      <c r="D86" s="1140"/>
      <c r="E86" s="1134"/>
      <c r="F86" s="1141"/>
      <c r="G86" s="1141"/>
      <c r="H86" s="1141"/>
      <c r="I86" s="1141"/>
      <c r="J86" s="1141"/>
      <c r="K86" s="1135"/>
      <c r="L86" s="1141"/>
      <c r="M86" s="1141"/>
      <c r="N86" s="1141"/>
      <c r="O86" s="1141"/>
      <c r="P86" s="1141"/>
      <c r="Q86" s="1141"/>
      <c r="R86" s="1141"/>
      <c r="S86" s="1141"/>
      <c r="T86" s="1141"/>
      <c r="U86" s="1135"/>
      <c r="V86" s="1141"/>
      <c r="W86" s="1141"/>
      <c r="X86" s="1141"/>
      <c r="Y86" s="1141"/>
      <c r="Z86" s="1141"/>
      <c r="AA86" s="1141"/>
      <c r="AB86" s="1141"/>
      <c r="AC86" s="1141"/>
      <c r="AD86" s="1141"/>
      <c r="AE86" s="1135"/>
      <c r="AF86" s="1141"/>
      <c r="AG86" s="1135"/>
      <c r="AH86" s="1141"/>
      <c r="AI86" s="1141"/>
      <c r="AJ86" s="1142"/>
      <c r="AK86" s="1137">
        <f t="shared" si="3"/>
        <v>0</v>
      </c>
      <c r="AL86" s="1137">
        <f t="shared" si="3"/>
        <v>0</v>
      </c>
    </row>
    <row r="87" spans="1:38" hidden="1" outlineLevel="2" x14ac:dyDescent="0.3">
      <c r="A87" s="1130"/>
      <c r="B87" s="1138"/>
      <c r="C87" s="1139"/>
      <c r="D87" s="1140"/>
      <c r="E87" s="1134"/>
      <c r="F87" s="1141"/>
      <c r="G87" s="1141"/>
      <c r="H87" s="1141"/>
      <c r="I87" s="1141"/>
      <c r="J87" s="1141"/>
      <c r="K87" s="1135"/>
      <c r="L87" s="1141"/>
      <c r="M87" s="1141"/>
      <c r="N87" s="1141"/>
      <c r="O87" s="1141"/>
      <c r="P87" s="1141"/>
      <c r="Q87" s="1141"/>
      <c r="R87" s="1141"/>
      <c r="S87" s="1141"/>
      <c r="T87" s="1141"/>
      <c r="U87" s="1135"/>
      <c r="V87" s="1141"/>
      <c r="W87" s="1141"/>
      <c r="X87" s="1141"/>
      <c r="Y87" s="1141"/>
      <c r="Z87" s="1141"/>
      <c r="AA87" s="1141"/>
      <c r="AB87" s="1141"/>
      <c r="AC87" s="1141"/>
      <c r="AD87" s="1141"/>
      <c r="AE87" s="1135"/>
      <c r="AF87" s="1141"/>
      <c r="AG87" s="1135"/>
      <c r="AH87" s="1141"/>
      <c r="AI87" s="1141"/>
      <c r="AJ87" s="1142"/>
      <c r="AK87" s="1137">
        <f t="shared" si="3"/>
        <v>0</v>
      </c>
      <c r="AL87" s="1137">
        <f t="shared" si="3"/>
        <v>0</v>
      </c>
    </row>
    <row r="88" spans="1:38" hidden="1" outlineLevel="2" x14ac:dyDescent="0.3">
      <c r="A88" s="1130"/>
      <c r="B88" s="1138"/>
      <c r="C88" s="1139"/>
      <c r="D88" s="1140"/>
      <c r="E88" s="1143"/>
      <c r="F88" s="1141"/>
      <c r="G88" s="1141"/>
      <c r="H88" s="1141"/>
      <c r="I88" s="1141"/>
      <c r="J88" s="1141"/>
      <c r="K88" s="1141"/>
      <c r="L88" s="1141"/>
      <c r="M88" s="1141"/>
      <c r="N88" s="1141"/>
      <c r="O88" s="1141"/>
      <c r="P88" s="1141"/>
      <c r="Q88" s="1141"/>
      <c r="R88" s="1141"/>
      <c r="S88" s="1141"/>
      <c r="T88" s="1141"/>
      <c r="U88" s="1135"/>
      <c r="V88" s="1141"/>
      <c r="W88" s="1141"/>
      <c r="X88" s="1141"/>
      <c r="Y88" s="1141"/>
      <c r="Z88" s="1141"/>
      <c r="AA88" s="1141"/>
      <c r="AB88" s="1141"/>
      <c r="AC88" s="1141"/>
      <c r="AD88" s="1141"/>
      <c r="AE88" s="1135"/>
      <c r="AF88" s="1141"/>
      <c r="AG88" s="1135"/>
      <c r="AH88" s="1141"/>
      <c r="AI88" s="1141"/>
      <c r="AJ88" s="1142"/>
      <c r="AK88" s="1137"/>
      <c r="AL88" s="1144"/>
    </row>
    <row r="89" spans="1:38" hidden="1" outlineLevel="2" x14ac:dyDescent="0.3">
      <c r="A89" s="1130"/>
      <c r="B89" s="1138"/>
      <c r="C89" s="1139"/>
      <c r="D89" s="1140"/>
      <c r="E89" s="1143"/>
      <c r="F89" s="1141"/>
      <c r="G89" s="1141"/>
      <c r="H89" s="1141"/>
      <c r="I89" s="1141"/>
      <c r="J89" s="1141"/>
      <c r="K89" s="1141"/>
      <c r="L89" s="1141"/>
      <c r="M89" s="1141"/>
      <c r="N89" s="1141"/>
      <c r="O89" s="1141"/>
      <c r="P89" s="1141"/>
      <c r="Q89" s="1141"/>
      <c r="R89" s="1141"/>
      <c r="S89" s="1141"/>
      <c r="T89" s="1141"/>
      <c r="U89" s="1141"/>
      <c r="V89" s="1141"/>
      <c r="W89" s="1141"/>
      <c r="X89" s="1141"/>
      <c r="Y89" s="1141"/>
      <c r="Z89" s="1141"/>
      <c r="AA89" s="1141"/>
      <c r="AB89" s="1141"/>
      <c r="AC89" s="1141"/>
      <c r="AD89" s="1141"/>
      <c r="AE89" s="1141"/>
      <c r="AF89" s="1141"/>
      <c r="AG89" s="1141"/>
      <c r="AH89" s="1141"/>
      <c r="AI89" s="1141"/>
      <c r="AJ89" s="1142"/>
      <c r="AK89" s="1142"/>
      <c r="AL89" s="1144"/>
    </row>
    <row r="90" spans="1:38" ht="15" outlineLevel="1" collapsed="1" thickBot="1" x14ac:dyDescent="0.35">
      <c r="A90" s="1130"/>
      <c r="B90" s="1145" t="s">
        <v>550</v>
      </c>
      <c r="C90" s="1146"/>
      <c r="D90" s="1147"/>
      <c r="E90" s="1148">
        <f t="shared" ref="E90:AL90" si="4">SUBTOTAL(9,E38:E89)</f>
        <v>0</v>
      </c>
      <c r="F90" s="1149">
        <f t="shared" si="4"/>
        <v>0</v>
      </c>
      <c r="G90" s="1149">
        <f t="shared" si="4"/>
        <v>0</v>
      </c>
      <c r="H90" s="1149">
        <f t="shared" si="4"/>
        <v>0</v>
      </c>
      <c r="I90" s="1149">
        <f t="shared" si="4"/>
        <v>0</v>
      </c>
      <c r="J90" s="1149">
        <f t="shared" si="4"/>
        <v>0</v>
      </c>
      <c r="K90" s="1149">
        <f t="shared" si="4"/>
        <v>0</v>
      </c>
      <c r="L90" s="1149">
        <f t="shared" si="4"/>
        <v>0</v>
      </c>
      <c r="M90" s="1149">
        <f t="shared" si="4"/>
        <v>0</v>
      </c>
      <c r="N90" s="1149">
        <f t="shared" si="4"/>
        <v>0</v>
      </c>
      <c r="O90" s="1149">
        <f t="shared" si="4"/>
        <v>0</v>
      </c>
      <c r="P90" s="1149">
        <f t="shared" si="4"/>
        <v>0</v>
      </c>
      <c r="Q90" s="1149">
        <f t="shared" si="4"/>
        <v>0</v>
      </c>
      <c r="R90" s="1149">
        <f t="shared" si="4"/>
        <v>0</v>
      </c>
      <c r="S90" s="1149">
        <f t="shared" si="4"/>
        <v>0</v>
      </c>
      <c r="T90" s="1149">
        <f t="shared" si="4"/>
        <v>0</v>
      </c>
      <c r="U90" s="1149">
        <f t="shared" si="4"/>
        <v>0</v>
      </c>
      <c r="V90" s="1149">
        <f t="shared" si="4"/>
        <v>0</v>
      </c>
      <c r="W90" s="1149"/>
      <c r="X90" s="1149">
        <f t="shared" si="4"/>
        <v>0</v>
      </c>
      <c r="Y90" s="1149">
        <f t="shared" si="4"/>
        <v>0</v>
      </c>
      <c r="Z90" s="1149">
        <f t="shared" si="4"/>
        <v>0</v>
      </c>
      <c r="AA90" s="1149">
        <f t="shared" si="4"/>
        <v>0</v>
      </c>
      <c r="AB90" s="1149">
        <f t="shared" si="4"/>
        <v>0</v>
      </c>
      <c r="AC90" s="1149">
        <f t="shared" si="4"/>
        <v>0</v>
      </c>
      <c r="AD90" s="1149">
        <f t="shared" si="4"/>
        <v>0</v>
      </c>
      <c r="AE90" s="1149">
        <f t="shared" si="4"/>
        <v>0</v>
      </c>
      <c r="AF90" s="1149">
        <f t="shared" si="4"/>
        <v>0</v>
      </c>
      <c r="AG90" s="1149">
        <f t="shared" si="4"/>
        <v>0</v>
      </c>
      <c r="AH90" s="1149">
        <f t="shared" si="4"/>
        <v>0</v>
      </c>
      <c r="AI90" s="1149">
        <f t="shared" si="4"/>
        <v>0</v>
      </c>
      <c r="AJ90" s="1149">
        <f t="shared" si="4"/>
        <v>0</v>
      </c>
      <c r="AK90" s="1149">
        <f>SUBTOTAL(9,AK36:AK89)</f>
        <v>0</v>
      </c>
      <c r="AL90" s="1149">
        <f t="shared" si="4"/>
        <v>0</v>
      </c>
    </row>
    <row r="91" spans="1:38" ht="36" outlineLevel="1" x14ac:dyDescent="0.35">
      <c r="A91" s="1150" t="s">
        <v>1460</v>
      </c>
      <c r="B91" s="1151"/>
      <c r="C91" s="1152"/>
      <c r="D91" s="1153"/>
      <c r="E91" s="1154"/>
      <c r="F91" s="1155"/>
      <c r="G91" s="1155"/>
      <c r="H91" s="1155"/>
      <c r="I91" s="1155"/>
      <c r="J91" s="1155"/>
      <c r="K91" s="1155"/>
      <c r="L91" s="1155"/>
      <c r="M91" s="1155"/>
      <c r="N91" s="1155"/>
      <c r="O91" s="1155"/>
      <c r="P91" s="1155"/>
      <c r="Q91" s="1155"/>
      <c r="R91" s="1155"/>
      <c r="S91" s="1155"/>
      <c r="T91" s="1155"/>
      <c r="U91" s="1155"/>
      <c r="V91" s="1155"/>
      <c r="W91" s="1155"/>
      <c r="X91" s="1155"/>
      <c r="Y91" s="1155"/>
      <c r="Z91" s="1155"/>
      <c r="AA91" s="1155"/>
      <c r="AB91" s="1155"/>
      <c r="AC91" s="1155"/>
      <c r="AD91" s="1155"/>
      <c r="AE91" s="1155"/>
      <c r="AF91" s="1155"/>
      <c r="AG91" s="1155"/>
      <c r="AH91" s="1155"/>
      <c r="AI91" s="1155"/>
      <c r="AJ91" s="1156"/>
      <c r="AK91" s="1156">
        <f t="shared" ref="AK91:AL106" si="5">SUM(E91,G91,I91)-SUM(K91,M91,O91,Q91,S91,U91,W91,Y91,AA91,AC91,AE91,AG91,AI91)</f>
        <v>0</v>
      </c>
      <c r="AL91" s="1157">
        <f t="shared" si="5"/>
        <v>0</v>
      </c>
    </row>
    <row r="92" spans="1:38" hidden="1" outlineLevel="2" x14ac:dyDescent="0.3">
      <c r="A92" s="1158"/>
      <c r="B92" s="1159"/>
      <c r="C92" s="1160"/>
      <c r="D92" s="1161"/>
      <c r="E92" s="1162"/>
      <c r="F92" s="1163"/>
      <c r="G92" s="1163"/>
      <c r="H92" s="1163"/>
      <c r="I92" s="1163"/>
      <c r="J92" s="1163"/>
      <c r="K92" s="1163"/>
      <c r="L92" s="1163"/>
      <c r="M92" s="1163"/>
      <c r="N92" s="1163"/>
      <c r="O92" s="1163"/>
      <c r="P92" s="1163"/>
      <c r="Q92" s="1163"/>
      <c r="R92" s="1163"/>
      <c r="S92" s="1163"/>
      <c r="T92" s="1163"/>
      <c r="U92" s="1163"/>
      <c r="V92" s="1163"/>
      <c r="W92" s="1163"/>
      <c r="X92" s="1163"/>
      <c r="Y92" s="1163"/>
      <c r="Z92" s="1163"/>
      <c r="AA92" s="1163"/>
      <c r="AB92" s="1163"/>
      <c r="AC92" s="1163"/>
      <c r="AD92" s="1163"/>
      <c r="AE92" s="1163"/>
      <c r="AF92" s="1163"/>
      <c r="AG92" s="1163"/>
      <c r="AH92" s="1163"/>
      <c r="AI92" s="1163"/>
      <c r="AJ92" s="1164"/>
      <c r="AK92" s="1164">
        <f t="shared" si="5"/>
        <v>0</v>
      </c>
      <c r="AL92" s="1165">
        <f t="shared" si="5"/>
        <v>0</v>
      </c>
    </row>
    <row r="93" spans="1:38" hidden="1" outlineLevel="2" x14ac:dyDescent="0.3">
      <c r="A93" s="1158"/>
      <c r="B93" s="1159"/>
      <c r="C93" s="1160"/>
      <c r="D93" s="1161"/>
      <c r="E93" s="1162"/>
      <c r="F93" s="1163"/>
      <c r="G93" s="1163"/>
      <c r="H93" s="1163"/>
      <c r="I93" s="1163"/>
      <c r="J93" s="1163"/>
      <c r="K93" s="1163"/>
      <c r="L93" s="1163"/>
      <c r="M93" s="1163"/>
      <c r="N93" s="1163"/>
      <c r="O93" s="1163"/>
      <c r="P93" s="1163"/>
      <c r="Q93" s="1163"/>
      <c r="R93" s="1163"/>
      <c r="S93" s="1163"/>
      <c r="T93" s="1163"/>
      <c r="U93" s="1163"/>
      <c r="V93" s="1163"/>
      <c r="W93" s="1163"/>
      <c r="X93" s="1163"/>
      <c r="Y93" s="1163"/>
      <c r="Z93" s="1163"/>
      <c r="AA93" s="1163"/>
      <c r="AB93" s="1163"/>
      <c r="AC93" s="1163"/>
      <c r="AD93" s="1163"/>
      <c r="AE93" s="1163"/>
      <c r="AF93" s="1163"/>
      <c r="AG93" s="1163"/>
      <c r="AH93" s="1163"/>
      <c r="AI93" s="1163"/>
      <c r="AJ93" s="1164"/>
      <c r="AK93" s="1164">
        <f t="shared" si="5"/>
        <v>0</v>
      </c>
      <c r="AL93" s="1165">
        <f t="shared" si="5"/>
        <v>0</v>
      </c>
    </row>
    <row r="94" spans="1:38" hidden="1" outlineLevel="2" x14ac:dyDescent="0.3">
      <c r="A94" s="1158"/>
      <c r="B94" s="1159"/>
      <c r="C94" s="1160"/>
      <c r="D94" s="1161"/>
      <c r="E94" s="1162"/>
      <c r="F94" s="1163"/>
      <c r="G94" s="1163"/>
      <c r="H94" s="1163"/>
      <c r="I94" s="1163"/>
      <c r="J94" s="1163"/>
      <c r="K94" s="1163"/>
      <c r="L94" s="1163"/>
      <c r="M94" s="1163"/>
      <c r="N94" s="1163"/>
      <c r="O94" s="1163"/>
      <c r="P94" s="1163"/>
      <c r="Q94" s="1163"/>
      <c r="R94" s="1163"/>
      <c r="S94" s="1163"/>
      <c r="T94" s="1163"/>
      <c r="U94" s="1163"/>
      <c r="V94" s="1163"/>
      <c r="W94" s="1163"/>
      <c r="X94" s="1163"/>
      <c r="Y94" s="1163"/>
      <c r="Z94" s="1163"/>
      <c r="AA94" s="1163"/>
      <c r="AB94" s="1163"/>
      <c r="AC94" s="1163"/>
      <c r="AD94" s="1163"/>
      <c r="AE94" s="1163"/>
      <c r="AF94" s="1163"/>
      <c r="AG94" s="1163"/>
      <c r="AH94" s="1163"/>
      <c r="AI94" s="1163"/>
      <c r="AJ94" s="1164"/>
      <c r="AK94" s="1164">
        <f t="shared" si="5"/>
        <v>0</v>
      </c>
      <c r="AL94" s="1165">
        <f t="shared" si="5"/>
        <v>0</v>
      </c>
    </row>
    <row r="95" spans="1:38" hidden="1" outlineLevel="2" x14ac:dyDescent="0.3">
      <c r="A95" s="1158"/>
      <c r="B95" s="1166"/>
      <c r="C95" s="1167"/>
      <c r="D95" s="1168"/>
      <c r="E95" s="1169"/>
      <c r="F95" s="1170"/>
      <c r="G95" s="1170"/>
      <c r="H95" s="1170"/>
      <c r="I95" s="1170"/>
      <c r="J95" s="1170"/>
      <c r="K95" s="1170"/>
      <c r="L95" s="1170"/>
      <c r="M95" s="1170"/>
      <c r="N95" s="1170"/>
      <c r="O95" s="1170"/>
      <c r="P95" s="1170"/>
      <c r="Q95" s="1170"/>
      <c r="R95" s="1170"/>
      <c r="S95" s="1170"/>
      <c r="T95" s="1170"/>
      <c r="U95" s="1170"/>
      <c r="V95" s="1170"/>
      <c r="W95" s="1170"/>
      <c r="X95" s="1170"/>
      <c r="Y95" s="1170"/>
      <c r="Z95" s="1170"/>
      <c r="AA95" s="1170"/>
      <c r="AB95" s="1170"/>
      <c r="AC95" s="1170"/>
      <c r="AD95" s="1170"/>
      <c r="AE95" s="1170"/>
      <c r="AF95" s="1170"/>
      <c r="AG95" s="1170"/>
      <c r="AH95" s="1170"/>
      <c r="AI95" s="1170"/>
      <c r="AJ95" s="1171"/>
      <c r="AK95" s="1171">
        <f t="shared" si="5"/>
        <v>0</v>
      </c>
      <c r="AL95" s="1172">
        <f t="shared" si="5"/>
        <v>0</v>
      </c>
    </row>
    <row r="96" spans="1:38" hidden="1" outlineLevel="2" x14ac:dyDescent="0.3">
      <c r="A96" s="1158"/>
      <c r="B96" s="1166"/>
      <c r="C96" s="1167"/>
      <c r="D96" s="1168"/>
      <c r="E96" s="1169"/>
      <c r="F96" s="1170"/>
      <c r="G96" s="1170"/>
      <c r="H96" s="1170"/>
      <c r="I96" s="1170"/>
      <c r="J96" s="1170"/>
      <c r="K96" s="1170"/>
      <c r="L96" s="1170"/>
      <c r="M96" s="1170"/>
      <c r="N96" s="1170"/>
      <c r="O96" s="1170"/>
      <c r="P96" s="1170"/>
      <c r="Q96" s="1170"/>
      <c r="R96" s="1170"/>
      <c r="S96" s="1170"/>
      <c r="T96" s="1170"/>
      <c r="U96" s="1170"/>
      <c r="V96" s="1170"/>
      <c r="W96" s="1170"/>
      <c r="X96" s="1170"/>
      <c r="Y96" s="1170"/>
      <c r="Z96" s="1170"/>
      <c r="AA96" s="1170"/>
      <c r="AB96" s="1170"/>
      <c r="AC96" s="1170"/>
      <c r="AD96" s="1170"/>
      <c r="AE96" s="1170"/>
      <c r="AF96" s="1170"/>
      <c r="AG96" s="1170"/>
      <c r="AH96" s="1170"/>
      <c r="AI96" s="1170"/>
      <c r="AJ96" s="1171"/>
      <c r="AK96" s="1171">
        <f t="shared" si="5"/>
        <v>0</v>
      </c>
      <c r="AL96" s="1172">
        <f t="shared" si="5"/>
        <v>0</v>
      </c>
    </row>
    <row r="97" spans="1:38" hidden="1" outlineLevel="2" x14ac:dyDescent="0.3">
      <c r="A97" s="1158"/>
      <c r="B97" s="1166"/>
      <c r="C97" s="1167"/>
      <c r="D97" s="1168"/>
      <c r="E97" s="1169"/>
      <c r="F97" s="1170"/>
      <c r="G97" s="1170"/>
      <c r="H97" s="1170"/>
      <c r="I97" s="1170"/>
      <c r="J97" s="1170"/>
      <c r="K97" s="1170"/>
      <c r="L97" s="1170"/>
      <c r="M97" s="1170"/>
      <c r="N97" s="1170"/>
      <c r="O97" s="1170"/>
      <c r="P97" s="1170"/>
      <c r="Q97" s="1170"/>
      <c r="R97" s="1170"/>
      <c r="S97" s="1170"/>
      <c r="T97" s="1170"/>
      <c r="U97" s="1170"/>
      <c r="V97" s="1170"/>
      <c r="W97" s="1170"/>
      <c r="X97" s="1170"/>
      <c r="Y97" s="1170"/>
      <c r="Z97" s="1170"/>
      <c r="AA97" s="1170"/>
      <c r="AB97" s="1170"/>
      <c r="AC97" s="1170"/>
      <c r="AD97" s="1170"/>
      <c r="AE97" s="1170"/>
      <c r="AF97" s="1170"/>
      <c r="AG97" s="1170"/>
      <c r="AH97" s="1170"/>
      <c r="AI97" s="1170"/>
      <c r="AJ97" s="1171"/>
      <c r="AK97" s="1171">
        <f t="shared" si="5"/>
        <v>0</v>
      </c>
      <c r="AL97" s="1172">
        <f t="shared" si="5"/>
        <v>0</v>
      </c>
    </row>
    <row r="98" spans="1:38" hidden="1" outlineLevel="2" x14ac:dyDescent="0.3">
      <c r="A98" s="1158"/>
      <c r="B98" s="1166"/>
      <c r="C98" s="1167"/>
      <c r="D98" s="1168"/>
      <c r="E98" s="1169"/>
      <c r="F98" s="1170"/>
      <c r="G98" s="1170"/>
      <c r="H98" s="1170"/>
      <c r="I98" s="1170"/>
      <c r="J98" s="1170"/>
      <c r="K98" s="1170"/>
      <c r="L98" s="1170"/>
      <c r="M98" s="1170"/>
      <c r="N98" s="1170"/>
      <c r="O98" s="1170"/>
      <c r="P98" s="1170"/>
      <c r="Q98" s="1170"/>
      <c r="R98" s="1170"/>
      <c r="S98" s="1170"/>
      <c r="T98" s="1170"/>
      <c r="U98" s="1170"/>
      <c r="V98" s="1170"/>
      <c r="W98" s="1170"/>
      <c r="X98" s="1170"/>
      <c r="Y98" s="1170"/>
      <c r="Z98" s="1170"/>
      <c r="AA98" s="1170"/>
      <c r="AB98" s="1170"/>
      <c r="AC98" s="1170"/>
      <c r="AD98" s="1170"/>
      <c r="AE98" s="1170"/>
      <c r="AF98" s="1170"/>
      <c r="AG98" s="1170"/>
      <c r="AH98" s="1170"/>
      <c r="AI98" s="1170"/>
      <c r="AJ98" s="1171"/>
      <c r="AK98" s="1171">
        <f t="shared" si="5"/>
        <v>0</v>
      </c>
      <c r="AL98" s="1172">
        <f t="shared" si="5"/>
        <v>0</v>
      </c>
    </row>
    <row r="99" spans="1:38" hidden="1" outlineLevel="2" x14ac:dyDescent="0.3">
      <c r="A99" s="1158"/>
      <c r="B99" s="1166"/>
      <c r="C99" s="1167"/>
      <c r="D99" s="1168"/>
      <c r="E99" s="1169"/>
      <c r="F99" s="1170"/>
      <c r="G99" s="1170"/>
      <c r="H99" s="1170"/>
      <c r="I99" s="1170"/>
      <c r="J99" s="1170"/>
      <c r="K99" s="1170"/>
      <c r="L99" s="1170"/>
      <c r="M99" s="1170"/>
      <c r="N99" s="1170"/>
      <c r="O99" s="1170"/>
      <c r="P99" s="1170"/>
      <c r="Q99" s="1170"/>
      <c r="R99" s="1170"/>
      <c r="S99" s="1170"/>
      <c r="T99" s="1170"/>
      <c r="U99" s="1170"/>
      <c r="V99" s="1170"/>
      <c r="W99" s="1170"/>
      <c r="X99" s="1170"/>
      <c r="Y99" s="1170"/>
      <c r="Z99" s="1170"/>
      <c r="AA99" s="1170"/>
      <c r="AB99" s="1170"/>
      <c r="AC99" s="1170"/>
      <c r="AD99" s="1170"/>
      <c r="AE99" s="1170"/>
      <c r="AF99" s="1170"/>
      <c r="AG99" s="1170"/>
      <c r="AH99" s="1170"/>
      <c r="AI99" s="1170"/>
      <c r="AJ99" s="1171"/>
      <c r="AK99" s="1171">
        <f t="shared" si="5"/>
        <v>0</v>
      </c>
      <c r="AL99" s="1172">
        <f t="shared" si="5"/>
        <v>0</v>
      </c>
    </row>
    <row r="100" spans="1:38" hidden="1" outlineLevel="2" x14ac:dyDescent="0.3">
      <c r="A100" s="1158"/>
      <c r="B100" s="1166"/>
      <c r="C100" s="1167"/>
      <c r="D100" s="1168"/>
      <c r="E100" s="1169"/>
      <c r="F100" s="1170"/>
      <c r="G100" s="1170"/>
      <c r="H100" s="1170"/>
      <c r="I100" s="1170"/>
      <c r="J100" s="1170"/>
      <c r="K100" s="1170"/>
      <c r="L100" s="1170"/>
      <c r="M100" s="1170"/>
      <c r="N100" s="1170"/>
      <c r="O100" s="1170"/>
      <c r="P100" s="1170"/>
      <c r="Q100" s="1170"/>
      <c r="R100" s="1170"/>
      <c r="S100" s="1170"/>
      <c r="T100" s="1170"/>
      <c r="U100" s="1170"/>
      <c r="V100" s="1170"/>
      <c r="W100" s="1170"/>
      <c r="X100" s="1170"/>
      <c r="Y100" s="1170"/>
      <c r="Z100" s="1170"/>
      <c r="AA100" s="1170"/>
      <c r="AB100" s="1170"/>
      <c r="AC100" s="1170"/>
      <c r="AD100" s="1170"/>
      <c r="AE100" s="1170"/>
      <c r="AF100" s="1170"/>
      <c r="AG100" s="1170"/>
      <c r="AH100" s="1170"/>
      <c r="AI100" s="1170"/>
      <c r="AJ100" s="1171"/>
      <c r="AK100" s="1171">
        <f t="shared" si="5"/>
        <v>0</v>
      </c>
      <c r="AL100" s="1172">
        <f t="shared" si="5"/>
        <v>0</v>
      </c>
    </row>
    <row r="101" spans="1:38" ht="15" outlineLevel="1" collapsed="1" thickBot="1" x14ac:dyDescent="0.35">
      <c r="A101" s="1158"/>
      <c r="B101" s="1173" t="s">
        <v>550</v>
      </c>
      <c r="C101" s="1174"/>
      <c r="D101" s="1175"/>
      <c r="E101" s="1176">
        <f t="shared" ref="E101:AJ101" si="6">SUBTOTAL(9,E91:E100)</f>
        <v>0</v>
      </c>
      <c r="F101" s="1177">
        <f t="shared" si="6"/>
        <v>0</v>
      </c>
      <c r="G101" s="1177">
        <f t="shared" si="6"/>
        <v>0</v>
      </c>
      <c r="H101" s="1177">
        <f t="shared" si="6"/>
        <v>0</v>
      </c>
      <c r="I101" s="1177">
        <f t="shared" si="6"/>
        <v>0</v>
      </c>
      <c r="J101" s="1177">
        <f t="shared" si="6"/>
        <v>0</v>
      </c>
      <c r="K101" s="1177">
        <f t="shared" si="6"/>
        <v>0</v>
      </c>
      <c r="L101" s="1177">
        <f t="shared" si="6"/>
        <v>0</v>
      </c>
      <c r="M101" s="1177">
        <f t="shared" si="6"/>
        <v>0</v>
      </c>
      <c r="N101" s="1177">
        <f t="shared" si="6"/>
        <v>0</v>
      </c>
      <c r="O101" s="1177">
        <f t="shared" si="6"/>
        <v>0</v>
      </c>
      <c r="P101" s="1177">
        <f t="shared" si="6"/>
        <v>0</v>
      </c>
      <c r="Q101" s="1177">
        <f t="shared" si="6"/>
        <v>0</v>
      </c>
      <c r="R101" s="1177">
        <f t="shared" si="6"/>
        <v>0</v>
      </c>
      <c r="S101" s="1177">
        <f t="shared" si="6"/>
        <v>0</v>
      </c>
      <c r="T101" s="1177">
        <f t="shared" si="6"/>
        <v>0</v>
      </c>
      <c r="U101" s="1177">
        <f t="shared" si="6"/>
        <v>0</v>
      </c>
      <c r="V101" s="1177">
        <f t="shared" si="6"/>
        <v>0</v>
      </c>
      <c r="W101" s="1177">
        <f t="shared" si="6"/>
        <v>0</v>
      </c>
      <c r="X101" s="1177">
        <f t="shared" si="6"/>
        <v>0</v>
      </c>
      <c r="Y101" s="1177">
        <f t="shared" si="6"/>
        <v>0</v>
      </c>
      <c r="Z101" s="1177">
        <f t="shared" si="6"/>
        <v>0</v>
      </c>
      <c r="AA101" s="1177">
        <f t="shared" si="6"/>
        <v>0</v>
      </c>
      <c r="AB101" s="1177">
        <f t="shared" si="6"/>
        <v>0</v>
      </c>
      <c r="AC101" s="1177">
        <f t="shared" si="6"/>
        <v>0</v>
      </c>
      <c r="AD101" s="1177">
        <f t="shared" si="6"/>
        <v>0</v>
      </c>
      <c r="AE101" s="1177">
        <f t="shared" si="6"/>
        <v>0</v>
      </c>
      <c r="AF101" s="1177">
        <f t="shared" si="6"/>
        <v>0</v>
      </c>
      <c r="AG101" s="1177">
        <f t="shared" si="6"/>
        <v>0</v>
      </c>
      <c r="AH101" s="1177">
        <f t="shared" si="6"/>
        <v>0</v>
      </c>
      <c r="AI101" s="1177">
        <f t="shared" si="6"/>
        <v>0</v>
      </c>
      <c r="AJ101" s="1178">
        <f t="shared" si="6"/>
        <v>0</v>
      </c>
      <c r="AK101" s="1178">
        <f>SUBTOTAL(9,AK91:AK100)</f>
        <v>0</v>
      </c>
      <c r="AL101" s="1179">
        <f>SUBTOTAL(9,AL91:AL100)</f>
        <v>0</v>
      </c>
    </row>
    <row r="102" spans="1:38" ht="18" outlineLevel="1" x14ac:dyDescent="0.35">
      <c r="A102" s="1180" t="s">
        <v>1464</v>
      </c>
      <c r="B102" s="1181"/>
      <c r="C102" s="1182"/>
      <c r="D102" s="1183"/>
      <c r="E102" s="1184"/>
      <c r="F102" s="1185"/>
      <c r="G102" s="1185"/>
      <c r="H102" s="1185"/>
      <c r="I102" s="1185"/>
      <c r="J102" s="1185"/>
      <c r="K102" s="1185"/>
      <c r="L102" s="1185"/>
      <c r="M102" s="1185"/>
      <c r="N102" s="1185"/>
      <c r="O102" s="1185"/>
      <c r="P102" s="1185"/>
      <c r="Q102" s="1185"/>
      <c r="R102" s="1185"/>
      <c r="S102" s="1185"/>
      <c r="T102" s="1185"/>
      <c r="U102" s="1185"/>
      <c r="V102" s="1185"/>
      <c r="W102" s="1185"/>
      <c r="X102" s="1185"/>
      <c r="Y102" s="1185"/>
      <c r="Z102" s="1185"/>
      <c r="AA102" s="1185"/>
      <c r="AB102" s="1185"/>
      <c r="AC102" s="1185"/>
      <c r="AD102" s="1185"/>
      <c r="AE102" s="1185"/>
      <c r="AF102" s="1185"/>
      <c r="AG102" s="1185"/>
      <c r="AH102" s="1185"/>
      <c r="AI102" s="1185"/>
      <c r="AJ102" s="1186"/>
      <c r="AK102" s="1186">
        <f t="shared" si="5"/>
        <v>0</v>
      </c>
      <c r="AL102" s="1187">
        <f t="shared" si="5"/>
        <v>0</v>
      </c>
    </row>
    <row r="103" spans="1:38" hidden="1" outlineLevel="2" x14ac:dyDescent="0.3">
      <c r="A103" s="1188"/>
      <c r="B103" s="1189"/>
      <c r="C103" s="1190"/>
      <c r="D103" s="1191"/>
      <c r="E103" s="1192"/>
      <c r="F103" s="1193"/>
      <c r="G103" s="1193"/>
      <c r="H103" s="1193"/>
      <c r="I103" s="1193"/>
      <c r="J103" s="1193"/>
      <c r="K103" s="1193"/>
      <c r="L103" s="1193"/>
      <c r="M103" s="1193"/>
      <c r="N103" s="1193"/>
      <c r="O103" s="1193"/>
      <c r="P103" s="1193"/>
      <c r="Q103" s="1193"/>
      <c r="R103" s="1193"/>
      <c r="S103" s="1193"/>
      <c r="T103" s="1193"/>
      <c r="U103" s="1193"/>
      <c r="V103" s="1193"/>
      <c r="W103" s="1193"/>
      <c r="X103" s="1193"/>
      <c r="Y103" s="1193"/>
      <c r="Z103" s="1193"/>
      <c r="AA103" s="1193"/>
      <c r="AB103" s="1193"/>
      <c r="AC103" s="1193"/>
      <c r="AD103" s="1193"/>
      <c r="AE103" s="1193"/>
      <c r="AF103" s="1193"/>
      <c r="AG103" s="1193"/>
      <c r="AH103" s="1193"/>
      <c r="AI103" s="1193"/>
      <c r="AJ103" s="1194"/>
      <c r="AK103" s="1194">
        <f t="shared" si="5"/>
        <v>0</v>
      </c>
      <c r="AL103" s="1195">
        <f t="shared" si="5"/>
        <v>0</v>
      </c>
    </row>
    <row r="104" spans="1:38" hidden="1" outlineLevel="2" x14ac:dyDescent="0.3">
      <c r="A104" s="1188"/>
      <c r="B104" s="1189"/>
      <c r="C104" s="1190"/>
      <c r="D104" s="1191"/>
      <c r="E104" s="1192"/>
      <c r="F104" s="1193"/>
      <c r="G104" s="1193"/>
      <c r="H104" s="1193"/>
      <c r="I104" s="1193"/>
      <c r="J104" s="1193"/>
      <c r="K104" s="1193"/>
      <c r="L104" s="1193"/>
      <c r="M104" s="1193"/>
      <c r="N104" s="1193"/>
      <c r="O104" s="1193"/>
      <c r="P104" s="1193"/>
      <c r="Q104" s="1193"/>
      <c r="R104" s="1193"/>
      <c r="S104" s="1193"/>
      <c r="T104" s="1193"/>
      <c r="U104" s="1193"/>
      <c r="V104" s="1193"/>
      <c r="W104" s="1193"/>
      <c r="X104" s="1193"/>
      <c r="Y104" s="1193"/>
      <c r="Z104" s="1193"/>
      <c r="AA104" s="1193"/>
      <c r="AB104" s="1193"/>
      <c r="AC104" s="1193"/>
      <c r="AD104" s="1193"/>
      <c r="AE104" s="1193"/>
      <c r="AF104" s="1193"/>
      <c r="AG104" s="1193"/>
      <c r="AH104" s="1193"/>
      <c r="AI104" s="1193"/>
      <c r="AJ104" s="1194"/>
      <c r="AK104" s="1194">
        <f t="shared" si="5"/>
        <v>0</v>
      </c>
      <c r="AL104" s="1195">
        <f t="shared" si="5"/>
        <v>0</v>
      </c>
    </row>
    <row r="105" spans="1:38" hidden="1" outlineLevel="2" x14ac:dyDescent="0.3">
      <c r="A105" s="1188"/>
      <c r="B105" s="1196"/>
      <c r="C105" s="1197"/>
      <c r="D105" s="1198"/>
      <c r="E105" s="1199"/>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c r="AA105" s="1200"/>
      <c r="AB105" s="1200"/>
      <c r="AC105" s="1200"/>
      <c r="AD105" s="1200"/>
      <c r="AE105" s="1200"/>
      <c r="AF105" s="1200"/>
      <c r="AG105" s="1200"/>
      <c r="AH105" s="1200"/>
      <c r="AI105" s="1200"/>
      <c r="AJ105" s="1201"/>
      <c r="AK105" s="1201">
        <f t="shared" si="5"/>
        <v>0</v>
      </c>
      <c r="AL105" s="1202">
        <f t="shared" si="5"/>
        <v>0</v>
      </c>
    </row>
    <row r="106" spans="1:38" hidden="1" outlineLevel="2" x14ac:dyDescent="0.3">
      <c r="A106" s="1188"/>
      <c r="B106" s="1196"/>
      <c r="C106" s="1197"/>
      <c r="D106" s="1198"/>
      <c r="E106" s="1199"/>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c r="AA106" s="1200"/>
      <c r="AB106" s="1200"/>
      <c r="AC106" s="1200"/>
      <c r="AD106" s="1200"/>
      <c r="AE106" s="1200"/>
      <c r="AF106" s="1200"/>
      <c r="AG106" s="1200"/>
      <c r="AH106" s="1200"/>
      <c r="AI106" s="1200"/>
      <c r="AJ106" s="1201"/>
      <c r="AK106" s="1201">
        <f t="shared" si="5"/>
        <v>0</v>
      </c>
      <c r="AL106" s="1202">
        <f t="shared" si="5"/>
        <v>0</v>
      </c>
    </row>
    <row r="107" spans="1:38" hidden="1" outlineLevel="2" x14ac:dyDescent="0.3">
      <c r="A107" s="1188"/>
      <c r="B107" s="1196"/>
      <c r="C107" s="1197"/>
      <c r="D107" s="1198"/>
      <c r="E107" s="1199"/>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c r="AA107" s="1200"/>
      <c r="AB107" s="1200"/>
      <c r="AC107" s="1200"/>
      <c r="AD107" s="1200"/>
      <c r="AE107" s="1200"/>
      <c r="AF107" s="1200"/>
      <c r="AG107" s="1200"/>
      <c r="AH107" s="1200"/>
      <c r="AI107" s="1200"/>
      <c r="AJ107" s="1201"/>
      <c r="AK107" s="1201">
        <f t="shared" ref="AK107:AL109" si="7">SUM(E107,G107,I107)-SUM(K107,M107,O107,Q107,S107,U107,W107,Y107,AA107,AC107,AE107,AG107,AI107)</f>
        <v>0</v>
      </c>
      <c r="AL107" s="1202">
        <f t="shared" si="7"/>
        <v>0</v>
      </c>
    </row>
    <row r="108" spans="1:38" hidden="1" outlineLevel="2" x14ac:dyDescent="0.3">
      <c r="A108" s="1188"/>
      <c r="B108" s="1196"/>
      <c r="C108" s="1197"/>
      <c r="D108" s="1198"/>
      <c r="E108" s="1199"/>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c r="AA108" s="1200"/>
      <c r="AB108" s="1200"/>
      <c r="AC108" s="1200"/>
      <c r="AD108" s="1200"/>
      <c r="AE108" s="1200"/>
      <c r="AF108" s="1200"/>
      <c r="AG108" s="1200"/>
      <c r="AH108" s="1200"/>
      <c r="AI108" s="1200"/>
      <c r="AJ108" s="1201"/>
      <c r="AK108" s="1201">
        <f t="shared" si="7"/>
        <v>0</v>
      </c>
      <c r="AL108" s="1202">
        <f t="shared" si="7"/>
        <v>0</v>
      </c>
    </row>
    <row r="109" spans="1:38" hidden="1" outlineLevel="2" x14ac:dyDescent="0.3">
      <c r="A109" s="1188"/>
      <c r="B109" s="1196"/>
      <c r="C109" s="1197"/>
      <c r="D109" s="1198"/>
      <c r="E109" s="1199"/>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c r="AA109" s="1200"/>
      <c r="AB109" s="1200"/>
      <c r="AC109" s="1200"/>
      <c r="AD109" s="1200"/>
      <c r="AE109" s="1200"/>
      <c r="AF109" s="1200"/>
      <c r="AG109" s="1200"/>
      <c r="AH109" s="1200"/>
      <c r="AI109" s="1200"/>
      <c r="AJ109" s="1201"/>
      <c r="AK109" s="1201">
        <f t="shared" si="7"/>
        <v>0</v>
      </c>
      <c r="AL109" s="1202">
        <f t="shared" si="7"/>
        <v>0</v>
      </c>
    </row>
    <row r="110" spans="1:38" ht="15" outlineLevel="1" collapsed="1" thickBot="1" x14ac:dyDescent="0.35">
      <c r="A110" s="1188"/>
      <c r="B110" s="1203" t="s">
        <v>550</v>
      </c>
      <c r="C110" s="1204"/>
      <c r="D110" s="1205"/>
      <c r="E110" s="1206">
        <f t="shared" ref="E110:AI110" si="8">SUBTOTAL(9,E102:E109)</f>
        <v>0</v>
      </c>
      <c r="F110" s="1207">
        <f t="shared" si="8"/>
        <v>0</v>
      </c>
      <c r="G110" s="1207">
        <f t="shared" si="8"/>
        <v>0</v>
      </c>
      <c r="H110" s="1207">
        <f t="shared" si="8"/>
        <v>0</v>
      </c>
      <c r="I110" s="1207">
        <f t="shared" si="8"/>
        <v>0</v>
      </c>
      <c r="J110" s="1207">
        <f t="shared" si="8"/>
        <v>0</v>
      </c>
      <c r="K110" s="1207">
        <f t="shared" si="8"/>
        <v>0</v>
      </c>
      <c r="L110" s="1207">
        <f t="shared" si="8"/>
        <v>0</v>
      </c>
      <c r="M110" s="1207">
        <f t="shared" si="8"/>
        <v>0</v>
      </c>
      <c r="N110" s="1207">
        <f t="shared" si="8"/>
        <v>0</v>
      </c>
      <c r="O110" s="1207">
        <f t="shared" si="8"/>
        <v>0</v>
      </c>
      <c r="P110" s="1207">
        <f t="shared" si="8"/>
        <v>0</v>
      </c>
      <c r="Q110" s="1207">
        <f t="shared" si="8"/>
        <v>0</v>
      </c>
      <c r="R110" s="1207">
        <f t="shared" si="8"/>
        <v>0</v>
      </c>
      <c r="S110" s="1207">
        <f t="shared" si="8"/>
        <v>0</v>
      </c>
      <c r="T110" s="1207">
        <f t="shared" si="8"/>
        <v>0</v>
      </c>
      <c r="U110" s="1207">
        <f t="shared" si="8"/>
        <v>0</v>
      </c>
      <c r="V110" s="1207">
        <f t="shared" si="8"/>
        <v>0</v>
      </c>
      <c r="W110" s="1207">
        <f t="shared" si="8"/>
        <v>0</v>
      </c>
      <c r="X110" s="1207">
        <f t="shared" si="8"/>
        <v>0</v>
      </c>
      <c r="Y110" s="1207">
        <f t="shared" si="8"/>
        <v>0</v>
      </c>
      <c r="Z110" s="1207">
        <f t="shared" si="8"/>
        <v>0</v>
      </c>
      <c r="AA110" s="1207">
        <f t="shared" si="8"/>
        <v>0</v>
      </c>
      <c r="AB110" s="1207">
        <f t="shared" si="8"/>
        <v>0</v>
      </c>
      <c r="AC110" s="1207">
        <f t="shared" si="8"/>
        <v>0</v>
      </c>
      <c r="AD110" s="1207">
        <f t="shared" si="8"/>
        <v>0</v>
      </c>
      <c r="AE110" s="1207">
        <f t="shared" si="8"/>
        <v>0</v>
      </c>
      <c r="AF110" s="1207">
        <f t="shared" si="8"/>
        <v>0</v>
      </c>
      <c r="AG110" s="1207">
        <f t="shared" si="8"/>
        <v>0</v>
      </c>
      <c r="AH110" s="1207">
        <f t="shared" si="8"/>
        <v>0</v>
      </c>
      <c r="AI110" s="1207">
        <f t="shared" si="8"/>
        <v>0</v>
      </c>
      <c r="AJ110" s="1208"/>
      <c r="AK110" s="1208">
        <f>SUBTOTAL(9,AK102:AK109)</f>
        <v>0</v>
      </c>
      <c r="AL110" s="1209">
        <f>SUBTOTAL(9,AL102:AL109)</f>
        <v>0</v>
      </c>
    </row>
    <row r="111" spans="1:38" x14ac:dyDescent="0.3">
      <c r="A111" s="98"/>
      <c r="B111" s="660"/>
      <c r="C111" s="660"/>
      <c r="D111" s="660"/>
      <c r="E111" s="941">
        <f>SUM(E110,E101,E90)</f>
        <v>0</v>
      </c>
      <c r="F111" s="941"/>
      <c r="G111" s="941">
        <f>SUM(G110,G101,G90)</f>
        <v>0</v>
      </c>
      <c r="H111" s="941"/>
      <c r="I111" s="941">
        <f>SUM(I110,I101,I90)</f>
        <v>0</v>
      </c>
      <c r="J111" s="941"/>
      <c r="K111" s="941">
        <v>9600</v>
      </c>
      <c r="L111" s="941"/>
      <c r="M111" s="941">
        <f>SUM(M110,M101,M90)</f>
        <v>0</v>
      </c>
      <c r="N111" s="941"/>
      <c r="O111" s="941">
        <f>SUM(O110,O101,O90)</f>
        <v>0</v>
      </c>
      <c r="P111" s="941"/>
      <c r="Q111" s="941">
        <f>SUM(Q110,Q101,Q90)</f>
        <v>0</v>
      </c>
      <c r="R111" s="941"/>
      <c r="S111" s="941">
        <f>SUM(S110,S101,S90)</f>
        <v>0</v>
      </c>
      <c r="T111" s="941"/>
      <c r="U111" s="941">
        <f>SUM(U110,U101,U90)</f>
        <v>0</v>
      </c>
      <c r="V111" s="941"/>
      <c r="W111" s="941">
        <f>SUM(W110,W101,W90)</f>
        <v>0</v>
      </c>
      <c r="X111" s="941"/>
      <c r="Y111" s="941">
        <f>SUM(Y110,Y101,Y90)</f>
        <v>0</v>
      </c>
      <c r="Z111" s="941"/>
      <c r="AA111" s="941">
        <f>SUM(AA110,AA101,AA90)</f>
        <v>0</v>
      </c>
      <c r="AB111" s="941"/>
      <c r="AC111" s="941">
        <f>SUM(AC110,AC101,AC90)</f>
        <v>0</v>
      </c>
      <c r="AD111" s="941"/>
      <c r="AE111" s="941">
        <f>SUM(AE110,AE101,AE90)</f>
        <v>0</v>
      </c>
      <c r="AF111" s="941"/>
      <c r="AG111" s="941">
        <f>SUM(AG110,AG101,AG90)</f>
        <v>0</v>
      </c>
      <c r="AH111" s="941"/>
      <c r="AI111" s="941">
        <f>SUM(AI110,AI101,AI90)</f>
        <v>0</v>
      </c>
      <c r="AJ111" s="941"/>
      <c r="AK111" s="941"/>
      <c r="AL111" s="941">
        <f>SUM(K111:AI111)-SUM(E111:I111)</f>
        <v>9600</v>
      </c>
    </row>
    <row r="112" spans="1:38" ht="15.6" x14ac:dyDescent="0.3">
      <c r="B112" s="76"/>
      <c r="C112" s="76"/>
      <c r="D112" s="79"/>
      <c r="E112" s="1112"/>
      <c r="F112" s="1112"/>
      <c r="G112" s="660"/>
      <c r="H112" s="1112"/>
      <c r="I112" s="660"/>
      <c r="J112" s="1112"/>
      <c r="K112" s="660"/>
      <c r="L112" s="1112"/>
      <c r="M112" s="660"/>
      <c r="N112" s="1112"/>
      <c r="O112" s="660"/>
      <c r="P112" s="1112"/>
      <c r="Q112" s="660"/>
      <c r="R112" s="1112"/>
      <c r="S112" s="660"/>
      <c r="T112" s="1112"/>
      <c r="U112" s="660"/>
      <c r="V112" s="1112"/>
      <c r="W112" s="660"/>
      <c r="X112" s="1112"/>
      <c r="Y112" s="660"/>
      <c r="Z112" s="1112"/>
      <c r="AA112" s="660"/>
      <c r="AB112" s="1112"/>
      <c r="AC112" s="660"/>
      <c r="AD112" s="1112"/>
      <c r="AE112" s="660"/>
      <c r="AF112" s="1112"/>
      <c r="AG112" s="660"/>
      <c r="AH112" s="1112"/>
      <c r="AI112" s="660"/>
      <c r="AJ112" s="660"/>
      <c r="AK112" s="1108"/>
      <c r="AL112" s="1106"/>
    </row>
    <row r="113" spans="1:38" ht="18" x14ac:dyDescent="0.3">
      <c r="A113" s="1110" t="s">
        <v>1467</v>
      </c>
      <c r="B113" s="1111"/>
      <c r="C113" s="1111"/>
      <c r="D113" s="1111"/>
      <c r="E113" s="1112"/>
      <c r="F113" s="1112"/>
      <c r="G113" s="660"/>
      <c r="H113" s="660"/>
      <c r="I113" s="660"/>
      <c r="J113" s="660"/>
      <c r="K113" s="660"/>
      <c r="L113" s="660"/>
      <c r="M113" s="660"/>
      <c r="N113" s="660"/>
      <c r="O113" s="660"/>
      <c r="P113" s="660"/>
      <c r="Q113" s="660"/>
      <c r="R113" s="660"/>
      <c r="S113" s="660"/>
      <c r="T113" s="660"/>
      <c r="U113" s="660"/>
      <c r="V113" s="660"/>
      <c r="W113" s="660"/>
      <c r="X113" s="660"/>
      <c r="Y113" s="660"/>
      <c r="Z113" s="660"/>
      <c r="AA113" s="660"/>
      <c r="AB113" s="660"/>
      <c r="AC113" s="660"/>
      <c r="AD113" s="660"/>
      <c r="AE113" s="660"/>
      <c r="AF113" s="660"/>
      <c r="AG113" s="660"/>
      <c r="AH113" s="660"/>
      <c r="AI113" s="660"/>
      <c r="AJ113" s="660"/>
      <c r="AK113" s="660"/>
    </row>
    <row r="114" spans="1:38" ht="15" thickBot="1" x14ac:dyDescent="0.35">
      <c r="A114" s="39"/>
      <c r="B114" s="1113"/>
      <c r="C114" s="1113"/>
      <c r="D114" s="1114" t="s">
        <v>1407</v>
      </c>
      <c r="E114" s="1115" t="s">
        <v>69</v>
      </c>
      <c r="F114" s="1116" t="s">
        <v>8</v>
      </c>
      <c r="G114" s="1115" t="s">
        <v>83</v>
      </c>
      <c r="H114" s="1116" t="s">
        <v>8</v>
      </c>
      <c r="I114" s="1115" t="s">
        <v>90</v>
      </c>
      <c r="J114" s="1116" t="s">
        <v>8</v>
      </c>
      <c r="K114" s="1117" t="s">
        <v>134</v>
      </c>
      <c r="L114" s="1118" t="s">
        <v>8</v>
      </c>
      <c r="M114" s="1117" t="s">
        <v>136</v>
      </c>
      <c r="N114" s="1118" t="s">
        <v>8</v>
      </c>
      <c r="O114" s="1117" t="s">
        <v>728</v>
      </c>
      <c r="P114" s="1118" t="s">
        <v>8</v>
      </c>
      <c r="Q114" s="1117" t="s">
        <v>266</v>
      </c>
      <c r="R114" s="1118" t="s">
        <v>8</v>
      </c>
      <c r="S114" s="1117" t="s">
        <v>292</v>
      </c>
      <c r="T114" s="1118" t="s">
        <v>8</v>
      </c>
      <c r="U114" s="1117" t="s">
        <v>335</v>
      </c>
      <c r="V114" s="1118" t="s">
        <v>8</v>
      </c>
      <c r="W114" s="1117" t="s">
        <v>346</v>
      </c>
      <c r="X114" s="1118" t="s">
        <v>8</v>
      </c>
      <c r="Y114" s="1117" t="s">
        <v>357</v>
      </c>
      <c r="Z114" s="1118" t="s">
        <v>8</v>
      </c>
      <c r="AA114" s="1117" t="s">
        <v>364</v>
      </c>
      <c r="AB114" s="1118" t="s">
        <v>8</v>
      </c>
      <c r="AC114" s="1117" t="s">
        <v>376</v>
      </c>
      <c r="AD114" s="1118" t="s">
        <v>8</v>
      </c>
      <c r="AE114" s="1117" t="s">
        <v>386</v>
      </c>
      <c r="AF114" s="1118" t="s">
        <v>8</v>
      </c>
      <c r="AG114" s="1117" t="s">
        <v>398</v>
      </c>
      <c r="AH114" s="1118" t="s">
        <v>8</v>
      </c>
      <c r="AI114" s="1117" t="s">
        <v>424</v>
      </c>
      <c r="AJ114" s="1119" t="s">
        <v>8</v>
      </c>
      <c r="AK114" s="1120" t="s">
        <v>1404</v>
      </c>
      <c r="AL114" s="1121" t="s">
        <v>1405</v>
      </c>
    </row>
    <row r="115" spans="1:38" s="39" customFormat="1" ht="21" customHeight="1" outlineLevel="1" x14ac:dyDescent="0.35">
      <c r="A115" s="1122" t="s">
        <v>1223</v>
      </c>
      <c r="B115" s="1123" t="s">
        <v>625</v>
      </c>
      <c r="C115" s="1124" t="s">
        <v>1408</v>
      </c>
      <c r="D115" s="1125" t="s">
        <v>1409</v>
      </c>
      <c r="E115" s="1126"/>
      <c r="F115" s="1127"/>
      <c r="G115" s="1127"/>
      <c r="H115" s="1127"/>
      <c r="I115" s="1127"/>
      <c r="J115" s="1127"/>
      <c r="K115" s="1127"/>
      <c r="L115" s="1127"/>
      <c r="M115" s="1127"/>
      <c r="N115" s="1127"/>
      <c r="O115" s="1127"/>
      <c r="P115" s="1127"/>
      <c r="Q115" s="1127"/>
      <c r="R115" s="1127"/>
      <c r="S115" s="1127"/>
      <c r="T115" s="1127"/>
      <c r="U115" s="1127"/>
      <c r="V115" s="1127"/>
      <c r="W115" s="1127"/>
      <c r="X115" s="1127"/>
      <c r="Y115" s="1127"/>
      <c r="Z115" s="1127"/>
      <c r="AA115" s="1127"/>
      <c r="AB115" s="1127"/>
      <c r="AC115" s="1127"/>
      <c r="AD115" s="1127"/>
      <c r="AE115" s="1127"/>
      <c r="AF115" s="1127"/>
      <c r="AG115" s="1127"/>
      <c r="AH115" s="1127"/>
      <c r="AI115" s="1127"/>
      <c r="AJ115" s="1128"/>
      <c r="AK115" s="1128"/>
      <c r="AL115" s="1129"/>
    </row>
    <row r="116" spans="1:38" hidden="1" outlineLevel="2" x14ac:dyDescent="0.3">
      <c r="A116" s="1130"/>
      <c r="B116" s="1131"/>
      <c r="C116" s="1132"/>
      <c r="D116" s="1133"/>
      <c r="E116" s="1134"/>
      <c r="F116" s="1135"/>
      <c r="G116" s="1135"/>
      <c r="H116" s="1135"/>
      <c r="I116" s="1135"/>
      <c r="J116" s="1135"/>
      <c r="K116" s="1135"/>
      <c r="L116" s="1135"/>
      <c r="M116" s="1135"/>
      <c r="N116" s="1135"/>
      <c r="O116" s="1135"/>
      <c r="P116" s="1135"/>
      <c r="Q116" s="1135"/>
      <c r="R116" s="1135"/>
      <c r="S116" s="1135"/>
      <c r="T116" s="1135"/>
      <c r="U116" s="1135"/>
      <c r="V116" s="1135"/>
      <c r="W116" s="1135"/>
      <c r="X116" s="1135"/>
      <c r="Y116" s="1135"/>
      <c r="Z116" s="1135"/>
      <c r="AA116" s="1135"/>
      <c r="AB116" s="1135"/>
      <c r="AC116" s="1135"/>
      <c r="AD116" s="1135"/>
      <c r="AE116" s="1135"/>
      <c r="AF116" s="1135"/>
      <c r="AG116" s="1135"/>
      <c r="AH116" s="1135"/>
      <c r="AI116" s="1135"/>
      <c r="AJ116" s="1136"/>
      <c r="AK116" s="1136"/>
      <c r="AL116" s="1137"/>
    </row>
    <row r="117" spans="1:38" ht="42" hidden="1" customHeight="1" outlineLevel="2" x14ac:dyDescent="0.3">
      <c r="A117" s="1130"/>
      <c r="B117" s="1131"/>
      <c r="C117" s="1132"/>
      <c r="D117" s="1133"/>
      <c r="E117" s="1134"/>
      <c r="F117" s="1135"/>
      <c r="G117" s="1135"/>
      <c r="H117" s="1135"/>
      <c r="I117" s="1135"/>
      <c r="J117" s="1135"/>
      <c r="K117" s="1135"/>
      <c r="L117" s="1135"/>
      <c r="M117" s="1135"/>
      <c r="N117" s="1135"/>
      <c r="O117" s="1135"/>
      <c r="P117" s="1135"/>
      <c r="Q117" s="1135"/>
      <c r="R117" s="1135"/>
      <c r="S117" s="1135"/>
      <c r="T117" s="1135"/>
      <c r="U117" s="1135"/>
      <c r="V117" s="1135"/>
      <c r="W117" s="1135"/>
      <c r="X117" s="1135"/>
      <c r="Y117" s="1135"/>
      <c r="Z117" s="1135"/>
      <c r="AA117" s="1135"/>
      <c r="AB117" s="1135"/>
      <c r="AC117" s="1135"/>
      <c r="AD117" s="1135">
        <v>0</v>
      </c>
      <c r="AE117" s="1135"/>
      <c r="AF117" s="1135"/>
      <c r="AG117" s="1135"/>
      <c r="AH117" s="1135"/>
      <c r="AI117" s="1135"/>
      <c r="AJ117" s="1136"/>
      <c r="AK117" s="1137">
        <f t="shared" ref="AK117:AL148" si="9">SUM(E117,G117,I117)-SUM(K117,M117,O117,Q117,S117,U117,W117,Y117,AA117,AC117,AE117,AG117,AI117)</f>
        <v>0</v>
      </c>
      <c r="AL117" s="1137">
        <f t="shared" si="9"/>
        <v>0</v>
      </c>
    </row>
    <row r="118" spans="1:38" hidden="1" outlineLevel="2" x14ac:dyDescent="0.3">
      <c r="A118" s="1130"/>
      <c r="B118" s="1131"/>
      <c r="C118" s="1132"/>
      <c r="D118" s="1133"/>
      <c r="E118" s="1134"/>
      <c r="F118" s="1135"/>
      <c r="G118" s="1135"/>
      <c r="H118" s="1135"/>
      <c r="I118" s="1135"/>
      <c r="J118" s="1135"/>
      <c r="K118" s="1135"/>
      <c r="L118" s="1135"/>
      <c r="M118" s="1135"/>
      <c r="N118" s="1135"/>
      <c r="O118" s="1135"/>
      <c r="P118" s="1135"/>
      <c r="Q118" s="1135"/>
      <c r="R118" s="1135"/>
      <c r="S118" s="1135"/>
      <c r="T118" s="1135"/>
      <c r="U118" s="1135"/>
      <c r="V118" s="1135"/>
      <c r="W118" s="1135"/>
      <c r="X118" s="1135"/>
      <c r="Y118" s="1135"/>
      <c r="Z118" s="1135"/>
      <c r="AA118" s="1135"/>
      <c r="AB118" s="1135"/>
      <c r="AC118" s="1135"/>
      <c r="AD118" s="1135">
        <v>0</v>
      </c>
      <c r="AE118" s="1135"/>
      <c r="AF118" s="1135"/>
      <c r="AG118" s="1135"/>
      <c r="AH118" s="1135"/>
      <c r="AI118" s="1135"/>
      <c r="AJ118" s="1136"/>
      <c r="AK118" s="1137">
        <f t="shared" si="9"/>
        <v>0</v>
      </c>
      <c r="AL118" s="1137">
        <f t="shared" si="9"/>
        <v>0</v>
      </c>
    </row>
    <row r="119" spans="1:38" hidden="1" outlineLevel="2" x14ac:dyDescent="0.3">
      <c r="A119" s="1130"/>
      <c r="B119" s="1138"/>
      <c r="C119" s="1139"/>
      <c r="D119" s="1140"/>
      <c r="E119" s="1134"/>
      <c r="F119" s="1141"/>
      <c r="G119" s="1141"/>
      <c r="H119" s="1141"/>
      <c r="I119" s="1141"/>
      <c r="J119" s="1141"/>
      <c r="K119" s="1135"/>
      <c r="L119" s="1141"/>
      <c r="M119" s="1141"/>
      <c r="N119" s="1141"/>
      <c r="O119" s="1141"/>
      <c r="P119" s="1141"/>
      <c r="Q119" s="1141"/>
      <c r="R119" s="1141"/>
      <c r="S119" s="1141"/>
      <c r="T119" s="1141"/>
      <c r="U119" s="1135"/>
      <c r="V119" s="1141"/>
      <c r="W119" s="1141"/>
      <c r="X119" s="1141"/>
      <c r="Y119" s="1141"/>
      <c r="Z119" s="1141"/>
      <c r="AA119" s="1141"/>
      <c r="AB119" s="1141"/>
      <c r="AC119" s="1141"/>
      <c r="AD119" s="1141"/>
      <c r="AE119" s="1135"/>
      <c r="AF119" s="1141"/>
      <c r="AG119" s="1135"/>
      <c r="AH119" s="1141"/>
      <c r="AI119" s="1141"/>
      <c r="AJ119" s="1142"/>
      <c r="AK119" s="1137">
        <f t="shared" si="9"/>
        <v>0</v>
      </c>
      <c r="AL119" s="1137">
        <f t="shared" si="9"/>
        <v>0</v>
      </c>
    </row>
    <row r="120" spans="1:38" hidden="1" outlineLevel="2" x14ac:dyDescent="0.3">
      <c r="A120" s="1130"/>
      <c r="B120" s="1138"/>
      <c r="C120" s="1139"/>
      <c r="D120" s="1140"/>
      <c r="E120" s="1134"/>
      <c r="F120" s="1141"/>
      <c r="G120" s="1141"/>
      <c r="H120" s="1141"/>
      <c r="I120" s="1141"/>
      <c r="J120" s="1141"/>
      <c r="K120" s="1135"/>
      <c r="L120" s="1141"/>
      <c r="M120" s="1141"/>
      <c r="N120" s="1141"/>
      <c r="O120" s="1141"/>
      <c r="P120" s="1141"/>
      <c r="Q120" s="1141"/>
      <c r="R120" s="1141"/>
      <c r="S120" s="1141"/>
      <c r="T120" s="1141"/>
      <c r="U120" s="1135"/>
      <c r="V120" s="1141"/>
      <c r="W120" s="1141"/>
      <c r="X120" s="1141"/>
      <c r="Y120" s="1141"/>
      <c r="Z120" s="1141"/>
      <c r="AA120" s="1141"/>
      <c r="AB120" s="1141"/>
      <c r="AC120" s="1141"/>
      <c r="AD120" s="1141"/>
      <c r="AE120" s="1135"/>
      <c r="AF120" s="1141"/>
      <c r="AG120" s="1135"/>
      <c r="AH120" s="1141"/>
      <c r="AI120" s="1141"/>
      <c r="AJ120" s="1142"/>
      <c r="AK120" s="1137">
        <f t="shared" si="9"/>
        <v>0</v>
      </c>
      <c r="AL120" s="1137">
        <f t="shared" si="9"/>
        <v>0</v>
      </c>
    </row>
    <row r="121" spans="1:38" hidden="1" outlineLevel="2" x14ac:dyDescent="0.3">
      <c r="A121" s="1130"/>
      <c r="B121" s="1138"/>
      <c r="C121" s="1139"/>
      <c r="D121" s="1140"/>
      <c r="E121" s="1134"/>
      <c r="F121" s="1141"/>
      <c r="G121" s="1141"/>
      <c r="H121" s="1141"/>
      <c r="I121" s="1141"/>
      <c r="J121" s="1141"/>
      <c r="K121" s="1135"/>
      <c r="L121" s="1141"/>
      <c r="M121" s="1141"/>
      <c r="N121" s="1141"/>
      <c r="O121" s="1141"/>
      <c r="P121" s="1141"/>
      <c r="Q121" s="1141"/>
      <c r="R121" s="1141"/>
      <c r="S121" s="1141"/>
      <c r="T121" s="1141"/>
      <c r="U121" s="1135"/>
      <c r="V121" s="1141"/>
      <c r="W121" s="1141"/>
      <c r="X121" s="1141"/>
      <c r="Y121" s="1141"/>
      <c r="Z121" s="1141"/>
      <c r="AA121" s="1141"/>
      <c r="AB121" s="1141"/>
      <c r="AC121" s="1141"/>
      <c r="AD121" s="1141"/>
      <c r="AE121" s="1135"/>
      <c r="AF121" s="1141"/>
      <c r="AG121" s="1135"/>
      <c r="AH121" s="1141"/>
      <c r="AI121" s="1141"/>
      <c r="AJ121" s="1142"/>
      <c r="AK121" s="1137">
        <f t="shared" si="9"/>
        <v>0</v>
      </c>
      <c r="AL121" s="1137">
        <f t="shared" si="9"/>
        <v>0</v>
      </c>
    </row>
    <row r="122" spans="1:38" hidden="1" outlineLevel="2" x14ac:dyDescent="0.3">
      <c r="A122" s="1130"/>
      <c r="B122" s="1138"/>
      <c r="C122" s="1139"/>
      <c r="D122" s="1140"/>
      <c r="E122" s="1134"/>
      <c r="F122" s="1141"/>
      <c r="G122" s="1141"/>
      <c r="H122" s="1141"/>
      <c r="I122" s="1141"/>
      <c r="J122" s="1141"/>
      <c r="K122" s="1135"/>
      <c r="L122" s="1141"/>
      <c r="M122" s="1141"/>
      <c r="N122" s="1141"/>
      <c r="O122" s="1141"/>
      <c r="P122" s="1141"/>
      <c r="Q122" s="1141"/>
      <c r="R122" s="1141"/>
      <c r="S122" s="1141"/>
      <c r="T122" s="1141"/>
      <c r="U122" s="1135"/>
      <c r="V122" s="1141"/>
      <c r="W122" s="1141"/>
      <c r="X122" s="1141"/>
      <c r="Y122" s="1141"/>
      <c r="Z122" s="1141"/>
      <c r="AA122" s="1141"/>
      <c r="AB122" s="1141"/>
      <c r="AC122" s="1141"/>
      <c r="AD122" s="1141"/>
      <c r="AE122" s="1135"/>
      <c r="AF122" s="1141"/>
      <c r="AG122" s="1135"/>
      <c r="AH122" s="1141"/>
      <c r="AI122" s="1141"/>
      <c r="AJ122" s="1142"/>
      <c r="AK122" s="1137">
        <f t="shared" si="9"/>
        <v>0</v>
      </c>
      <c r="AL122" s="1137">
        <f t="shared" si="9"/>
        <v>0</v>
      </c>
    </row>
    <row r="123" spans="1:38" hidden="1" outlineLevel="2" x14ac:dyDescent="0.3">
      <c r="A123" s="1130"/>
      <c r="B123" s="1138"/>
      <c r="C123" s="1139"/>
      <c r="D123" s="1140"/>
      <c r="E123" s="1134"/>
      <c r="F123" s="1141"/>
      <c r="G123" s="1141"/>
      <c r="H123" s="1141"/>
      <c r="I123" s="1141"/>
      <c r="J123" s="1141"/>
      <c r="K123" s="1135"/>
      <c r="L123" s="1141"/>
      <c r="M123" s="1141"/>
      <c r="N123" s="1141"/>
      <c r="O123" s="1141"/>
      <c r="P123" s="1141"/>
      <c r="Q123" s="1141"/>
      <c r="R123" s="1141"/>
      <c r="S123" s="1141"/>
      <c r="T123" s="1141"/>
      <c r="U123" s="1135"/>
      <c r="V123" s="1141"/>
      <c r="W123" s="1141"/>
      <c r="X123" s="1141"/>
      <c r="Y123" s="1141"/>
      <c r="Z123" s="1141"/>
      <c r="AA123" s="1141"/>
      <c r="AB123" s="1141"/>
      <c r="AC123" s="1141"/>
      <c r="AD123" s="1141"/>
      <c r="AE123" s="1135"/>
      <c r="AF123" s="1141"/>
      <c r="AG123" s="1135"/>
      <c r="AH123" s="1141"/>
      <c r="AI123" s="1141"/>
      <c r="AJ123" s="1142"/>
      <c r="AK123" s="1137">
        <f t="shared" si="9"/>
        <v>0</v>
      </c>
      <c r="AL123" s="1137">
        <f t="shared" si="9"/>
        <v>0</v>
      </c>
    </row>
    <row r="124" spans="1:38" hidden="1" outlineLevel="2" x14ac:dyDescent="0.3">
      <c r="A124" s="1130"/>
      <c r="B124" s="1138"/>
      <c r="C124" s="1139"/>
      <c r="D124" s="1140"/>
      <c r="E124" s="1134"/>
      <c r="F124" s="1141"/>
      <c r="G124" s="1141"/>
      <c r="H124" s="1141"/>
      <c r="I124" s="1141"/>
      <c r="J124" s="1141"/>
      <c r="K124" s="1135"/>
      <c r="L124" s="1141"/>
      <c r="M124" s="1141"/>
      <c r="N124" s="1141"/>
      <c r="O124" s="1141"/>
      <c r="P124" s="1141"/>
      <c r="Q124" s="1141"/>
      <c r="R124" s="1141"/>
      <c r="S124" s="1141"/>
      <c r="T124" s="1141"/>
      <c r="U124" s="1135"/>
      <c r="V124" s="1141"/>
      <c r="W124" s="1141"/>
      <c r="X124" s="1141"/>
      <c r="Y124" s="1141"/>
      <c r="Z124" s="1141"/>
      <c r="AA124" s="1141"/>
      <c r="AB124" s="1141"/>
      <c r="AC124" s="1141"/>
      <c r="AD124" s="1141"/>
      <c r="AE124" s="1135"/>
      <c r="AF124" s="1141"/>
      <c r="AG124" s="1135"/>
      <c r="AH124" s="1141"/>
      <c r="AI124" s="1141"/>
      <c r="AJ124" s="1142"/>
      <c r="AK124" s="1137">
        <f t="shared" si="9"/>
        <v>0</v>
      </c>
      <c r="AL124" s="1137">
        <f t="shared" si="9"/>
        <v>0</v>
      </c>
    </row>
    <row r="125" spans="1:38" hidden="1" outlineLevel="2" x14ac:dyDescent="0.3">
      <c r="A125" s="1130"/>
      <c r="B125" s="1138"/>
      <c r="C125" s="1139"/>
      <c r="D125" s="1140"/>
      <c r="E125" s="1134"/>
      <c r="F125" s="1141"/>
      <c r="G125" s="1141"/>
      <c r="H125" s="1141"/>
      <c r="I125" s="1141"/>
      <c r="J125" s="1141"/>
      <c r="K125" s="1135"/>
      <c r="L125" s="1141"/>
      <c r="M125" s="1141"/>
      <c r="N125" s="1141"/>
      <c r="O125" s="1141"/>
      <c r="P125" s="1141"/>
      <c r="Q125" s="1141"/>
      <c r="R125" s="1141"/>
      <c r="S125" s="1141"/>
      <c r="T125" s="1141"/>
      <c r="U125" s="1135"/>
      <c r="V125" s="1141"/>
      <c r="W125" s="1141"/>
      <c r="X125" s="1141"/>
      <c r="Y125" s="1141"/>
      <c r="Z125" s="1141"/>
      <c r="AA125" s="1141"/>
      <c r="AB125" s="1141"/>
      <c r="AC125" s="1141"/>
      <c r="AD125" s="1141"/>
      <c r="AE125" s="1135"/>
      <c r="AF125" s="1141"/>
      <c r="AG125" s="1135"/>
      <c r="AH125" s="1141"/>
      <c r="AI125" s="1141"/>
      <c r="AJ125" s="1142"/>
      <c r="AK125" s="1137">
        <f t="shared" si="9"/>
        <v>0</v>
      </c>
      <c r="AL125" s="1137">
        <f t="shared" si="9"/>
        <v>0</v>
      </c>
    </row>
    <row r="126" spans="1:38" hidden="1" outlineLevel="2" x14ac:dyDescent="0.3">
      <c r="A126" s="1130"/>
      <c r="B126" s="1138"/>
      <c r="C126" s="1139"/>
      <c r="D126" s="1140"/>
      <c r="E126" s="1134"/>
      <c r="F126" s="1141"/>
      <c r="G126" s="1141"/>
      <c r="H126" s="1141"/>
      <c r="I126" s="1141"/>
      <c r="J126" s="1141"/>
      <c r="K126" s="1135"/>
      <c r="L126" s="1141"/>
      <c r="M126" s="1141"/>
      <c r="N126" s="1141"/>
      <c r="O126" s="1141"/>
      <c r="P126" s="1141"/>
      <c r="Q126" s="1141"/>
      <c r="R126" s="1141"/>
      <c r="S126" s="1141"/>
      <c r="T126" s="1141"/>
      <c r="U126" s="1135"/>
      <c r="V126" s="1141"/>
      <c r="W126" s="1141"/>
      <c r="X126" s="1141"/>
      <c r="Y126" s="1141"/>
      <c r="Z126" s="1141"/>
      <c r="AA126" s="1141"/>
      <c r="AB126" s="1141"/>
      <c r="AC126" s="1141"/>
      <c r="AD126" s="1141"/>
      <c r="AE126" s="1135"/>
      <c r="AF126" s="1141"/>
      <c r="AG126" s="1135"/>
      <c r="AH126" s="1141"/>
      <c r="AI126" s="1141"/>
      <c r="AJ126" s="1142"/>
      <c r="AK126" s="1137">
        <f t="shared" si="9"/>
        <v>0</v>
      </c>
      <c r="AL126" s="1137">
        <f t="shared" si="9"/>
        <v>0</v>
      </c>
    </row>
    <row r="127" spans="1:38" hidden="1" outlineLevel="2" x14ac:dyDescent="0.3">
      <c r="A127" s="1130"/>
      <c r="B127" s="1138"/>
      <c r="C127" s="1139"/>
      <c r="D127" s="1140"/>
      <c r="E127" s="1134"/>
      <c r="F127" s="1141"/>
      <c r="G127" s="1141"/>
      <c r="H127" s="1141"/>
      <c r="I127" s="1141"/>
      <c r="J127" s="1141"/>
      <c r="K127" s="1135"/>
      <c r="L127" s="1141"/>
      <c r="M127" s="1141"/>
      <c r="N127" s="1141"/>
      <c r="O127" s="1141"/>
      <c r="P127" s="1141"/>
      <c r="Q127" s="1141"/>
      <c r="R127" s="1141"/>
      <c r="S127" s="1141"/>
      <c r="T127" s="1141"/>
      <c r="U127" s="1135"/>
      <c r="V127" s="1141"/>
      <c r="W127" s="1141"/>
      <c r="X127" s="1141"/>
      <c r="Y127" s="1141"/>
      <c r="Z127" s="1141"/>
      <c r="AA127" s="1141"/>
      <c r="AB127" s="1141"/>
      <c r="AC127" s="1141"/>
      <c r="AD127" s="1141"/>
      <c r="AE127" s="1135"/>
      <c r="AF127" s="1141"/>
      <c r="AG127" s="1135"/>
      <c r="AH127" s="1141"/>
      <c r="AI127" s="1141"/>
      <c r="AJ127" s="1142"/>
      <c r="AK127" s="1137">
        <f t="shared" si="9"/>
        <v>0</v>
      </c>
      <c r="AL127" s="1137">
        <f t="shared" si="9"/>
        <v>0</v>
      </c>
    </row>
    <row r="128" spans="1:38" hidden="1" outlineLevel="2" x14ac:dyDescent="0.3">
      <c r="A128" s="1130"/>
      <c r="B128" s="1138"/>
      <c r="C128" s="1139"/>
      <c r="D128" s="1140"/>
      <c r="E128" s="1134"/>
      <c r="F128" s="1141"/>
      <c r="G128" s="1141"/>
      <c r="H128" s="1141"/>
      <c r="I128" s="1141"/>
      <c r="J128" s="1141"/>
      <c r="K128" s="1135"/>
      <c r="L128" s="1141"/>
      <c r="M128" s="1141"/>
      <c r="N128" s="1141"/>
      <c r="O128" s="1141"/>
      <c r="P128" s="1141"/>
      <c r="Q128" s="1141"/>
      <c r="R128" s="1141"/>
      <c r="S128" s="1141"/>
      <c r="T128" s="1141"/>
      <c r="U128" s="1135"/>
      <c r="V128" s="1141"/>
      <c r="W128" s="1141"/>
      <c r="X128" s="1141"/>
      <c r="Y128" s="1141"/>
      <c r="Z128" s="1141"/>
      <c r="AA128" s="1141"/>
      <c r="AB128" s="1141"/>
      <c r="AC128" s="1141"/>
      <c r="AD128" s="1141"/>
      <c r="AE128" s="1135"/>
      <c r="AF128" s="1141"/>
      <c r="AG128" s="1135"/>
      <c r="AH128" s="1141"/>
      <c r="AI128" s="1141"/>
      <c r="AJ128" s="1142"/>
      <c r="AK128" s="1137">
        <f t="shared" si="9"/>
        <v>0</v>
      </c>
      <c r="AL128" s="1137">
        <f t="shared" si="9"/>
        <v>0</v>
      </c>
    </row>
    <row r="129" spans="1:38" hidden="1" outlineLevel="2" x14ac:dyDescent="0.3">
      <c r="A129" s="1130"/>
      <c r="B129" s="1138"/>
      <c r="C129" s="1139"/>
      <c r="D129" s="1140"/>
      <c r="E129" s="1134"/>
      <c r="F129" s="1141"/>
      <c r="G129" s="1141"/>
      <c r="H129" s="1141"/>
      <c r="I129" s="1141"/>
      <c r="J129" s="1141"/>
      <c r="K129" s="1135"/>
      <c r="L129" s="1141"/>
      <c r="M129" s="1141"/>
      <c r="N129" s="1141"/>
      <c r="O129" s="1141"/>
      <c r="P129" s="1141"/>
      <c r="Q129" s="1141"/>
      <c r="R129" s="1141"/>
      <c r="S129" s="1141"/>
      <c r="T129" s="1141"/>
      <c r="U129" s="1135"/>
      <c r="V129" s="1141"/>
      <c r="W129" s="1141"/>
      <c r="X129" s="1141"/>
      <c r="Y129" s="1141"/>
      <c r="Z129" s="1141"/>
      <c r="AA129" s="1141"/>
      <c r="AB129" s="1141"/>
      <c r="AC129" s="1141"/>
      <c r="AD129" s="1141"/>
      <c r="AE129" s="1135"/>
      <c r="AF129" s="1141"/>
      <c r="AG129" s="1135"/>
      <c r="AH129" s="1141"/>
      <c r="AI129" s="1141"/>
      <c r="AJ129" s="1142"/>
      <c r="AK129" s="1137">
        <f t="shared" si="9"/>
        <v>0</v>
      </c>
      <c r="AL129" s="1137">
        <f t="shared" si="9"/>
        <v>0</v>
      </c>
    </row>
    <row r="130" spans="1:38" hidden="1" outlineLevel="2" x14ac:dyDescent="0.3">
      <c r="A130" s="1130"/>
      <c r="B130" s="1138"/>
      <c r="C130" s="1139"/>
      <c r="D130" s="1140"/>
      <c r="E130" s="1134"/>
      <c r="F130" s="1141"/>
      <c r="G130" s="1141"/>
      <c r="H130" s="1141"/>
      <c r="I130" s="1141"/>
      <c r="J130" s="1141"/>
      <c r="K130" s="1135"/>
      <c r="L130" s="1141"/>
      <c r="M130" s="1141"/>
      <c r="N130" s="1141"/>
      <c r="O130" s="1141"/>
      <c r="P130" s="1141"/>
      <c r="Q130" s="1141"/>
      <c r="R130" s="1141"/>
      <c r="S130" s="1141"/>
      <c r="T130" s="1141"/>
      <c r="U130" s="1135"/>
      <c r="V130" s="1141"/>
      <c r="W130" s="1141"/>
      <c r="X130" s="1141"/>
      <c r="Y130" s="1141"/>
      <c r="Z130" s="1141"/>
      <c r="AA130" s="1141"/>
      <c r="AB130" s="1141"/>
      <c r="AC130" s="1141"/>
      <c r="AD130" s="1141"/>
      <c r="AE130" s="1135"/>
      <c r="AF130" s="1141"/>
      <c r="AG130" s="1135"/>
      <c r="AH130" s="1141"/>
      <c r="AI130" s="1141"/>
      <c r="AJ130" s="1142"/>
      <c r="AK130" s="1137">
        <f t="shared" si="9"/>
        <v>0</v>
      </c>
      <c r="AL130" s="1137">
        <f t="shared" si="9"/>
        <v>0</v>
      </c>
    </row>
    <row r="131" spans="1:38" hidden="1" outlineLevel="2" x14ac:dyDescent="0.3">
      <c r="A131" s="1130"/>
      <c r="B131" s="1138"/>
      <c r="C131" s="1139"/>
      <c r="D131" s="1140"/>
      <c r="E131" s="1134"/>
      <c r="F131" s="1141"/>
      <c r="G131" s="1141"/>
      <c r="H131" s="1141"/>
      <c r="I131" s="1141"/>
      <c r="J131" s="1141"/>
      <c r="K131" s="1135"/>
      <c r="L131" s="1141"/>
      <c r="M131" s="1141"/>
      <c r="N131" s="1141"/>
      <c r="O131" s="1141"/>
      <c r="P131" s="1141"/>
      <c r="Q131" s="1141"/>
      <c r="R131" s="1141"/>
      <c r="S131" s="1141"/>
      <c r="T131" s="1141"/>
      <c r="U131" s="1135"/>
      <c r="V131" s="1141"/>
      <c r="W131" s="1141"/>
      <c r="X131" s="1141"/>
      <c r="Y131" s="1141"/>
      <c r="Z131" s="1141"/>
      <c r="AA131" s="1141"/>
      <c r="AB131" s="1141"/>
      <c r="AC131" s="1141"/>
      <c r="AD131" s="1141"/>
      <c r="AE131" s="1135"/>
      <c r="AF131" s="1141"/>
      <c r="AG131" s="1135"/>
      <c r="AH131" s="1141"/>
      <c r="AI131" s="1141"/>
      <c r="AJ131" s="1142"/>
      <c r="AK131" s="1137">
        <f t="shared" si="9"/>
        <v>0</v>
      </c>
      <c r="AL131" s="1137">
        <f t="shared" si="9"/>
        <v>0</v>
      </c>
    </row>
    <row r="132" spans="1:38" hidden="1" outlineLevel="2" x14ac:dyDescent="0.3">
      <c r="A132" s="1130"/>
      <c r="B132" s="1138"/>
      <c r="C132" s="1139"/>
      <c r="D132" s="1140"/>
      <c r="E132" s="1134"/>
      <c r="F132" s="1141"/>
      <c r="G132" s="1141"/>
      <c r="H132" s="1141"/>
      <c r="I132" s="1141"/>
      <c r="J132" s="1141"/>
      <c r="K132" s="1135"/>
      <c r="L132" s="1141"/>
      <c r="M132" s="1141"/>
      <c r="N132" s="1141"/>
      <c r="O132" s="1141"/>
      <c r="P132" s="1141"/>
      <c r="Q132" s="1141"/>
      <c r="R132" s="1141"/>
      <c r="S132" s="1141"/>
      <c r="T132" s="1141"/>
      <c r="U132" s="1135"/>
      <c r="V132" s="1141"/>
      <c r="W132" s="1141"/>
      <c r="X132" s="1141"/>
      <c r="Y132" s="1141"/>
      <c r="Z132" s="1141"/>
      <c r="AA132" s="1141"/>
      <c r="AB132" s="1141"/>
      <c r="AC132" s="1141"/>
      <c r="AD132" s="1141"/>
      <c r="AE132" s="1135"/>
      <c r="AF132" s="1141"/>
      <c r="AG132" s="1135"/>
      <c r="AH132" s="1141"/>
      <c r="AI132" s="1141"/>
      <c r="AJ132" s="1142"/>
      <c r="AK132" s="1137">
        <f t="shared" si="9"/>
        <v>0</v>
      </c>
      <c r="AL132" s="1137">
        <f t="shared" si="9"/>
        <v>0</v>
      </c>
    </row>
    <row r="133" spans="1:38" hidden="1" outlineLevel="2" x14ac:dyDescent="0.3">
      <c r="A133" s="1130"/>
      <c r="B133" s="1138"/>
      <c r="C133" s="1139"/>
      <c r="D133" s="1140"/>
      <c r="E133" s="1134"/>
      <c r="F133" s="1141"/>
      <c r="G133" s="1141"/>
      <c r="H133" s="1141"/>
      <c r="I133" s="1141"/>
      <c r="J133" s="1141"/>
      <c r="K133" s="1135"/>
      <c r="L133" s="1141"/>
      <c r="M133" s="1141"/>
      <c r="N133" s="1141"/>
      <c r="O133" s="1141"/>
      <c r="P133" s="1141"/>
      <c r="Q133" s="1141"/>
      <c r="R133" s="1141"/>
      <c r="S133" s="1141"/>
      <c r="T133" s="1141"/>
      <c r="U133" s="1135"/>
      <c r="V133" s="1141"/>
      <c r="W133" s="1141"/>
      <c r="X133" s="1141"/>
      <c r="Y133" s="1141"/>
      <c r="Z133" s="1141"/>
      <c r="AA133" s="1141"/>
      <c r="AB133" s="1141"/>
      <c r="AC133" s="1141"/>
      <c r="AD133" s="1141"/>
      <c r="AE133" s="1135"/>
      <c r="AF133" s="1141"/>
      <c r="AG133" s="1135"/>
      <c r="AH133" s="1141"/>
      <c r="AI133" s="1141"/>
      <c r="AJ133" s="1142"/>
      <c r="AK133" s="1137">
        <f t="shared" si="9"/>
        <v>0</v>
      </c>
      <c r="AL133" s="1137">
        <f t="shared" si="9"/>
        <v>0</v>
      </c>
    </row>
    <row r="134" spans="1:38" hidden="1" outlineLevel="2" x14ac:dyDescent="0.3">
      <c r="A134" s="1130"/>
      <c r="B134" s="1138"/>
      <c r="C134" s="1139"/>
      <c r="D134" s="1140"/>
      <c r="E134" s="1134"/>
      <c r="F134" s="1141"/>
      <c r="G134" s="1141"/>
      <c r="H134" s="1141"/>
      <c r="I134" s="1141"/>
      <c r="J134" s="1141"/>
      <c r="K134" s="1135"/>
      <c r="L134" s="1141"/>
      <c r="M134" s="1141"/>
      <c r="N134" s="1141"/>
      <c r="O134" s="1141"/>
      <c r="P134" s="1141"/>
      <c r="Q134" s="1141"/>
      <c r="R134" s="1141"/>
      <c r="S134" s="1141"/>
      <c r="T134" s="1141"/>
      <c r="U134" s="1135"/>
      <c r="V134" s="1141"/>
      <c r="W134" s="1141"/>
      <c r="X134" s="1141"/>
      <c r="Y134" s="1141"/>
      <c r="Z134" s="1141"/>
      <c r="AA134" s="1141"/>
      <c r="AB134" s="1141"/>
      <c r="AC134" s="1141"/>
      <c r="AD134" s="1141"/>
      <c r="AE134" s="1135"/>
      <c r="AF134" s="1141"/>
      <c r="AG134" s="1135"/>
      <c r="AH134" s="1141"/>
      <c r="AI134" s="1141"/>
      <c r="AJ134" s="1142"/>
      <c r="AK134" s="1137">
        <f t="shared" si="9"/>
        <v>0</v>
      </c>
      <c r="AL134" s="1137">
        <f t="shared" si="9"/>
        <v>0</v>
      </c>
    </row>
    <row r="135" spans="1:38" hidden="1" outlineLevel="2" x14ac:dyDescent="0.3">
      <c r="A135" s="1130"/>
      <c r="B135" s="1138"/>
      <c r="C135" s="1139"/>
      <c r="D135" s="1140"/>
      <c r="E135" s="1134"/>
      <c r="F135" s="1141"/>
      <c r="G135" s="1141"/>
      <c r="H135" s="1141"/>
      <c r="I135" s="1141"/>
      <c r="J135" s="1141"/>
      <c r="K135" s="1135"/>
      <c r="L135" s="1141"/>
      <c r="M135" s="1141"/>
      <c r="N135" s="1141"/>
      <c r="O135" s="1141"/>
      <c r="P135" s="1141"/>
      <c r="Q135" s="1141"/>
      <c r="R135" s="1141"/>
      <c r="S135" s="1141"/>
      <c r="T135" s="1141"/>
      <c r="U135" s="1135"/>
      <c r="V135" s="1141"/>
      <c r="W135" s="1141"/>
      <c r="X135" s="1141"/>
      <c r="Y135" s="1141"/>
      <c r="Z135" s="1141"/>
      <c r="AA135" s="1141"/>
      <c r="AB135" s="1141"/>
      <c r="AC135" s="1141"/>
      <c r="AD135" s="1141"/>
      <c r="AE135" s="1135"/>
      <c r="AF135" s="1141"/>
      <c r="AG135" s="1135"/>
      <c r="AH135" s="1141"/>
      <c r="AI135" s="1141"/>
      <c r="AJ135" s="1142"/>
      <c r="AK135" s="1137">
        <f t="shared" si="9"/>
        <v>0</v>
      </c>
      <c r="AL135" s="1137">
        <f t="shared" si="9"/>
        <v>0</v>
      </c>
    </row>
    <row r="136" spans="1:38" hidden="1" outlineLevel="2" x14ac:dyDescent="0.3">
      <c r="A136" s="1130"/>
      <c r="B136" s="1138"/>
      <c r="C136" s="1139"/>
      <c r="D136" s="1140"/>
      <c r="E136" s="1134"/>
      <c r="F136" s="1141"/>
      <c r="G136" s="1141"/>
      <c r="H136" s="1141"/>
      <c r="I136" s="1141"/>
      <c r="J136" s="1141"/>
      <c r="K136" s="1135"/>
      <c r="L136" s="1141"/>
      <c r="M136" s="1141"/>
      <c r="N136" s="1141"/>
      <c r="O136" s="1141"/>
      <c r="P136" s="1141"/>
      <c r="Q136" s="1141"/>
      <c r="R136" s="1141"/>
      <c r="S136" s="1141"/>
      <c r="T136" s="1141"/>
      <c r="U136" s="1135"/>
      <c r="V136" s="1141"/>
      <c r="W136" s="1141"/>
      <c r="X136" s="1141"/>
      <c r="Y136" s="1141"/>
      <c r="Z136" s="1141"/>
      <c r="AA136" s="1141"/>
      <c r="AB136" s="1141"/>
      <c r="AC136" s="1141"/>
      <c r="AD136" s="1141"/>
      <c r="AE136" s="1135"/>
      <c r="AF136" s="1141"/>
      <c r="AG136" s="1135"/>
      <c r="AH136" s="1141"/>
      <c r="AI136" s="1141"/>
      <c r="AJ136" s="1142"/>
      <c r="AK136" s="1137">
        <f t="shared" si="9"/>
        <v>0</v>
      </c>
      <c r="AL136" s="1137">
        <f t="shared" si="9"/>
        <v>0</v>
      </c>
    </row>
    <row r="137" spans="1:38" hidden="1" outlineLevel="2" x14ac:dyDescent="0.3">
      <c r="A137" s="1130"/>
      <c r="B137" s="1138"/>
      <c r="C137" s="1139"/>
      <c r="D137" s="1140"/>
      <c r="E137" s="1134"/>
      <c r="F137" s="1141"/>
      <c r="G137" s="1141"/>
      <c r="H137" s="1141"/>
      <c r="I137" s="1141"/>
      <c r="J137" s="1141"/>
      <c r="K137" s="1135"/>
      <c r="L137" s="1141"/>
      <c r="M137" s="1141"/>
      <c r="N137" s="1141"/>
      <c r="O137" s="1141"/>
      <c r="P137" s="1141"/>
      <c r="Q137" s="1141"/>
      <c r="R137" s="1141"/>
      <c r="S137" s="1141"/>
      <c r="T137" s="1141"/>
      <c r="U137" s="1135"/>
      <c r="V137" s="1141"/>
      <c r="W137" s="1141"/>
      <c r="X137" s="1141"/>
      <c r="Y137" s="1141"/>
      <c r="Z137" s="1141"/>
      <c r="AA137" s="1141"/>
      <c r="AB137" s="1141"/>
      <c r="AC137" s="1141"/>
      <c r="AD137" s="1141"/>
      <c r="AE137" s="1135"/>
      <c r="AF137" s="1141"/>
      <c r="AG137" s="1135"/>
      <c r="AH137" s="1141"/>
      <c r="AI137" s="1141"/>
      <c r="AJ137" s="1142"/>
      <c r="AK137" s="1137">
        <f t="shared" si="9"/>
        <v>0</v>
      </c>
      <c r="AL137" s="1137">
        <f t="shared" si="9"/>
        <v>0</v>
      </c>
    </row>
    <row r="138" spans="1:38" hidden="1" outlineLevel="2" x14ac:dyDescent="0.3">
      <c r="A138" s="1130"/>
      <c r="B138" s="1138"/>
      <c r="C138" s="1139"/>
      <c r="D138" s="1140"/>
      <c r="E138" s="1134"/>
      <c r="F138" s="1141"/>
      <c r="G138" s="1141"/>
      <c r="H138" s="1141"/>
      <c r="I138" s="1141"/>
      <c r="J138" s="1141"/>
      <c r="K138" s="1135"/>
      <c r="L138" s="1141"/>
      <c r="M138" s="1141"/>
      <c r="N138" s="1141"/>
      <c r="O138" s="1141"/>
      <c r="P138" s="1141"/>
      <c r="Q138" s="1141"/>
      <c r="R138" s="1141"/>
      <c r="S138" s="1141"/>
      <c r="T138" s="1141"/>
      <c r="U138" s="1135"/>
      <c r="V138" s="1141"/>
      <c r="W138" s="1141"/>
      <c r="X138" s="1141"/>
      <c r="Y138" s="1141"/>
      <c r="Z138" s="1141"/>
      <c r="AA138" s="1141"/>
      <c r="AB138" s="1141"/>
      <c r="AC138" s="1141"/>
      <c r="AD138" s="1141"/>
      <c r="AE138" s="1135"/>
      <c r="AF138" s="1141"/>
      <c r="AG138" s="1135"/>
      <c r="AH138" s="1141"/>
      <c r="AI138" s="1141"/>
      <c r="AJ138" s="1142"/>
      <c r="AK138" s="1137">
        <f t="shared" si="9"/>
        <v>0</v>
      </c>
      <c r="AL138" s="1137">
        <f t="shared" si="9"/>
        <v>0</v>
      </c>
    </row>
    <row r="139" spans="1:38" hidden="1" outlineLevel="2" x14ac:dyDescent="0.3">
      <c r="A139" s="1130"/>
      <c r="B139" s="1138"/>
      <c r="C139" s="1139"/>
      <c r="D139" s="1140"/>
      <c r="E139" s="1134"/>
      <c r="F139" s="1141"/>
      <c r="G139" s="1141"/>
      <c r="H139" s="1141"/>
      <c r="I139" s="1141"/>
      <c r="J139" s="1141"/>
      <c r="K139" s="1135"/>
      <c r="L139" s="1141"/>
      <c r="M139" s="1141"/>
      <c r="N139" s="1141"/>
      <c r="O139" s="1141"/>
      <c r="P139" s="1141"/>
      <c r="Q139" s="1141"/>
      <c r="R139" s="1141"/>
      <c r="S139" s="1141"/>
      <c r="T139" s="1141"/>
      <c r="U139" s="1135"/>
      <c r="V139" s="1141"/>
      <c r="W139" s="1141"/>
      <c r="X139" s="1141"/>
      <c r="Y139" s="1141"/>
      <c r="Z139" s="1141"/>
      <c r="AA139" s="1141"/>
      <c r="AB139" s="1141"/>
      <c r="AC139" s="1141"/>
      <c r="AD139" s="1141"/>
      <c r="AE139" s="1135"/>
      <c r="AF139" s="1141"/>
      <c r="AG139" s="1135"/>
      <c r="AH139" s="1141"/>
      <c r="AI139" s="1141"/>
      <c r="AJ139" s="1142"/>
      <c r="AK139" s="1137">
        <f t="shared" si="9"/>
        <v>0</v>
      </c>
      <c r="AL139" s="1137">
        <f t="shared" si="9"/>
        <v>0</v>
      </c>
    </row>
    <row r="140" spans="1:38" hidden="1" outlineLevel="2" x14ac:dyDescent="0.3">
      <c r="A140" s="1130"/>
      <c r="B140" s="1138"/>
      <c r="C140" s="1139"/>
      <c r="D140" s="1140"/>
      <c r="E140" s="1134"/>
      <c r="F140" s="1141"/>
      <c r="G140" s="1141"/>
      <c r="H140" s="1141"/>
      <c r="I140" s="1141"/>
      <c r="J140" s="1141"/>
      <c r="K140" s="1135"/>
      <c r="L140" s="1141"/>
      <c r="M140" s="1141"/>
      <c r="N140" s="1141"/>
      <c r="O140" s="1141"/>
      <c r="P140" s="1141"/>
      <c r="Q140" s="1141"/>
      <c r="R140" s="1141"/>
      <c r="S140" s="1141"/>
      <c r="T140" s="1141"/>
      <c r="U140" s="1135"/>
      <c r="V140" s="1141"/>
      <c r="W140" s="1141"/>
      <c r="X140" s="1141"/>
      <c r="Y140" s="1141"/>
      <c r="Z140" s="1141"/>
      <c r="AA140" s="1141"/>
      <c r="AB140" s="1141"/>
      <c r="AC140" s="1141"/>
      <c r="AD140" s="1141"/>
      <c r="AE140" s="1135"/>
      <c r="AF140" s="1141"/>
      <c r="AG140" s="1135"/>
      <c r="AH140" s="1141"/>
      <c r="AI140" s="1141"/>
      <c r="AJ140" s="1142"/>
      <c r="AK140" s="1137">
        <f t="shared" si="9"/>
        <v>0</v>
      </c>
      <c r="AL140" s="1137">
        <f t="shared" si="9"/>
        <v>0</v>
      </c>
    </row>
    <row r="141" spans="1:38" hidden="1" outlineLevel="2" x14ac:dyDescent="0.3">
      <c r="A141" s="1130"/>
      <c r="B141" s="1138"/>
      <c r="C141" s="1139"/>
      <c r="D141" s="1140"/>
      <c r="E141" s="1134"/>
      <c r="F141" s="1141"/>
      <c r="G141" s="1141"/>
      <c r="H141" s="1141"/>
      <c r="I141" s="1141"/>
      <c r="J141" s="1141"/>
      <c r="K141" s="1135"/>
      <c r="L141" s="1141"/>
      <c r="M141" s="1141"/>
      <c r="N141" s="1141"/>
      <c r="O141" s="1141"/>
      <c r="P141" s="1141"/>
      <c r="Q141" s="1141"/>
      <c r="R141" s="1141"/>
      <c r="S141" s="1141"/>
      <c r="T141" s="1141"/>
      <c r="U141" s="1135"/>
      <c r="V141" s="1141"/>
      <c r="W141" s="1141"/>
      <c r="X141" s="1141"/>
      <c r="Y141" s="1141"/>
      <c r="Z141" s="1141"/>
      <c r="AA141" s="1141"/>
      <c r="AB141" s="1141"/>
      <c r="AC141" s="1141"/>
      <c r="AD141" s="1141"/>
      <c r="AE141" s="1135"/>
      <c r="AF141" s="1141"/>
      <c r="AG141" s="1135"/>
      <c r="AH141" s="1141"/>
      <c r="AI141" s="1141"/>
      <c r="AJ141" s="1142"/>
      <c r="AK141" s="1137">
        <f t="shared" si="9"/>
        <v>0</v>
      </c>
      <c r="AL141" s="1137">
        <f t="shared" si="9"/>
        <v>0</v>
      </c>
    </row>
    <row r="142" spans="1:38" hidden="1" outlineLevel="2" x14ac:dyDescent="0.3">
      <c r="A142" s="1130"/>
      <c r="B142" s="1138"/>
      <c r="C142" s="1139"/>
      <c r="D142" s="1140"/>
      <c r="E142" s="1134"/>
      <c r="F142" s="1141"/>
      <c r="G142" s="1141"/>
      <c r="H142" s="1141"/>
      <c r="I142" s="1141"/>
      <c r="J142" s="1141"/>
      <c r="K142" s="1135"/>
      <c r="L142" s="1141"/>
      <c r="M142" s="1141"/>
      <c r="N142" s="1141"/>
      <c r="O142" s="1141"/>
      <c r="P142" s="1141"/>
      <c r="Q142" s="1141"/>
      <c r="R142" s="1141"/>
      <c r="S142" s="1141"/>
      <c r="T142" s="1141"/>
      <c r="U142" s="1135"/>
      <c r="V142" s="1141"/>
      <c r="W142" s="1141"/>
      <c r="X142" s="1141"/>
      <c r="Y142" s="1141"/>
      <c r="Z142" s="1141"/>
      <c r="AA142" s="1141"/>
      <c r="AB142" s="1141"/>
      <c r="AC142" s="1141"/>
      <c r="AD142" s="1141"/>
      <c r="AE142" s="1135"/>
      <c r="AF142" s="1141"/>
      <c r="AG142" s="1135"/>
      <c r="AH142" s="1141"/>
      <c r="AI142" s="1141"/>
      <c r="AJ142" s="1142"/>
      <c r="AK142" s="1137">
        <f t="shared" si="9"/>
        <v>0</v>
      </c>
      <c r="AL142" s="1137">
        <f t="shared" si="9"/>
        <v>0</v>
      </c>
    </row>
    <row r="143" spans="1:38" hidden="1" outlineLevel="2" x14ac:dyDescent="0.3">
      <c r="A143" s="1130"/>
      <c r="B143" s="1138"/>
      <c r="C143" s="1139"/>
      <c r="D143" s="1140"/>
      <c r="E143" s="1134"/>
      <c r="F143" s="1141"/>
      <c r="G143" s="1141"/>
      <c r="H143" s="1141"/>
      <c r="I143" s="1141"/>
      <c r="J143" s="1141"/>
      <c r="K143" s="1135"/>
      <c r="L143" s="1141"/>
      <c r="M143" s="1141"/>
      <c r="N143" s="1141"/>
      <c r="O143" s="1141"/>
      <c r="P143" s="1141"/>
      <c r="Q143" s="1141"/>
      <c r="R143" s="1141"/>
      <c r="S143" s="1141"/>
      <c r="T143" s="1141"/>
      <c r="U143" s="1135"/>
      <c r="V143" s="1141"/>
      <c r="W143" s="1141"/>
      <c r="X143" s="1141"/>
      <c r="Y143" s="1141"/>
      <c r="Z143" s="1141"/>
      <c r="AA143" s="1141"/>
      <c r="AB143" s="1141"/>
      <c r="AC143" s="1141"/>
      <c r="AD143" s="1141"/>
      <c r="AE143" s="1135"/>
      <c r="AF143" s="1141"/>
      <c r="AG143" s="1135"/>
      <c r="AH143" s="1141"/>
      <c r="AI143" s="1141"/>
      <c r="AJ143" s="1142"/>
      <c r="AK143" s="1137">
        <f t="shared" si="9"/>
        <v>0</v>
      </c>
      <c r="AL143" s="1137">
        <f t="shared" si="9"/>
        <v>0</v>
      </c>
    </row>
    <row r="144" spans="1:38" hidden="1" outlineLevel="2" x14ac:dyDescent="0.3">
      <c r="A144" s="1130"/>
      <c r="B144" s="1138"/>
      <c r="C144" s="1139"/>
      <c r="D144" s="1140"/>
      <c r="E144" s="1134"/>
      <c r="F144" s="1141"/>
      <c r="G144" s="1141"/>
      <c r="H144" s="1141"/>
      <c r="I144" s="1141"/>
      <c r="J144" s="1141"/>
      <c r="K144" s="1135"/>
      <c r="L144" s="1141"/>
      <c r="M144" s="1141"/>
      <c r="N144" s="1141"/>
      <c r="O144" s="1141"/>
      <c r="P144" s="1141"/>
      <c r="Q144" s="1141"/>
      <c r="R144" s="1141"/>
      <c r="S144" s="1141"/>
      <c r="T144" s="1141"/>
      <c r="U144" s="1135"/>
      <c r="V144" s="1141"/>
      <c r="W144" s="1141"/>
      <c r="X144" s="1141"/>
      <c r="Y144" s="1141"/>
      <c r="Z144" s="1141"/>
      <c r="AA144" s="1141"/>
      <c r="AB144" s="1141"/>
      <c r="AC144" s="1141"/>
      <c r="AD144" s="1141"/>
      <c r="AE144" s="1135"/>
      <c r="AF144" s="1141"/>
      <c r="AG144" s="1135"/>
      <c r="AH144" s="1141"/>
      <c r="AI144" s="1141"/>
      <c r="AJ144" s="1142"/>
      <c r="AK144" s="1137">
        <f t="shared" si="9"/>
        <v>0</v>
      </c>
      <c r="AL144" s="1137">
        <f t="shared" si="9"/>
        <v>0</v>
      </c>
    </row>
    <row r="145" spans="1:38" hidden="1" outlineLevel="2" x14ac:dyDescent="0.3">
      <c r="A145" s="1130"/>
      <c r="B145" s="1138"/>
      <c r="C145" s="1139"/>
      <c r="D145" s="1140"/>
      <c r="E145" s="1134"/>
      <c r="F145" s="1141"/>
      <c r="G145" s="1141"/>
      <c r="H145" s="1141"/>
      <c r="I145" s="1141"/>
      <c r="J145" s="1141"/>
      <c r="K145" s="1135"/>
      <c r="L145" s="1141"/>
      <c r="M145" s="1141"/>
      <c r="N145" s="1141"/>
      <c r="O145" s="1141"/>
      <c r="P145" s="1141"/>
      <c r="Q145" s="1141"/>
      <c r="R145" s="1141"/>
      <c r="S145" s="1141"/>
      <c r="T145" s="1141"/>
      <c r="U145" s="1135"/>
      <c r="V145" s="1141"/>
      <c r="W145" s="1141"/>
      <c r="X145" s="1141"/>
      <c r="Y145" s="1141"/>
      <c r="Z145" s="1141"/>
      <c r="AA145" s="1141"/>
      <c r="AB145" s="1141"/>
      <c r="AC145" s="1141"/>
      <c r="AD145" s="1141"/>
      <c r="AE145" s="1135"/>
      <c r="AF145" s="1141"/>
      <c r="AG145" s="1135"/>
      <c r="AH145" s="1141"/>
      <c r="AI145" s="1141"/>
      <c r="AJ145" s="1142"/>
      <c r="AK145" s="1137">
        <f t="shared" si="9"/>
        <v>0</v>
      </c>
      <c r="AL145" s="1137">
        <f t="shared" si="9"/>
        <v>0</v>
      </c>
    </row>
    <row r="146" spans="1:38" hidden="1" outlineLevel="2" x14ac:dyDescent="0.3">
      <c r="A146" s="1130"/>
      <c r="B146" s="1138"/>
      <c r="C146" s="1139"/>
      <c r="D146" s="1140"/>
      <c r="E146" s="1134"/>
      <c r="F146" s="1141"/>
      <c r="G146" s="1141"/>
      <c r="H146" s="1141"/>
      <c r="I146" s="1141"/>
      <c r="J146" s="1141"/>
      <c r="K146" s="1135"/>
      <c r="L146" s="1141"/>
      <c r="M146" s="1141"/>
      <c r="N146" s="1141"/>
      <c r="O146" s="1141"/>
      <c r="P146" s="1141"/>
      <c r="Q146" s="1141"/>
      <c r="R146" s="1141"/>
      <c r="S146" s="1141"/>
      <c r="T146" s="1141"/>
      <c r="U146" s="1135"/>
      <c r="V146" s="1141"/>
      <c r="W146" s="1141"/>
      <c r="X146" s="1141"/>
      <c r="Y146" s="1141"/>
      <c r="Z146" s="1141"/>
      <c r="AA146" s="1141"/>
      <c r="AB146" s="1141"/>
      <c r="AC146" s="1141"/>
      <c r="AD146" s="1141"/>
      <c r="AE146" s="1135"/>
      <c r="AF146" s="1141"/>
      <c r="AG146" s="1135"/>
      <c r="AH146" s="1141"/>
      <c r="AI146" s="1141"/>
      <c r="AJ146" s="1142"/>
      <c r="AK146" s="1137">
        <f t="shared" si="9"/>
        <v>0</v>
      </c>
      <c r="AL146" s="1137">
        <f t="shared" si="9"/>
        <v>0</v>
      </c>
    </row>
    <row r="147" spans="1:38" hidden="1" outlineLevel="2" x14ac:dyDescent="0.3">
      <c r="A147" s="1130"/>
      <c r="B147" s="1138"/>
      <c r="C147" s="1139"/>
      <c r="D147" s="1140"/>
      <c r="E147" s="1134"/>
      <c r="F147" s="1141"/>
      <c r="G147" s="1141"/>
      <c r="H147" s="1141"/>
      <c r="I147" s="1141"/>
      <c r="J147" s="1141"/>
      <c r="K147" s="1135"/>
      <c r="L147" s="1141"/>
      <c r="M147" s="1141"/>
      <c r="N147" s="1141"/>
      <c r="O147" s="1141"/>
      <c r="P147" s="1141"/>
      <c r="Q147" s="1141"/>
      <c r="R147" s="1141"/>
      <c r="S147" s="1141"/>
      <c r="T147" s="1141"/>
      <c r="U147" s="1135"/>
      <c r="V147" s="1141"/>
      <c r="W147" s="1141"/>
      <c r="X147" s="1141"/>
      <c r="Y147" s="1141"/>
      <c r="Z147" s="1141"/>
      <c r="AA147" s="1141"/>
      <c r="AB147" s="1141"/>
      <c r="AC147" s="1141"/>
      <c r="AD147" s="1141"/>
      <c r="AE147" s="1135"/>
      <c r="AF147" s="1141"/>
      <c r="AG147" s="1135"/>
      <c r="AH147" s="1141"/>
      <c r="AI147" s="1141"/>
      <c r="AJ147" s="1142"/>
      <c r="AK147" s="1137">
        <f t="shared" si="9"/>
        <v>0</v>
      </c>
      <c r="AL147" s="1137">
        <f t="shared" si="9"/>
        <v>0</v>
      </c>
    </row>
    <row r="148" spans="1:38" hidden="1" outlineLevel="2" x14ac:dyDescent="0.3">
      <c r="A148" s="1130"/>
      <c r="B148" s="1138"/>
      <c r="C148" s="1139"/>
      <c r="D148" s="1140"/>
      <c r="E148" s="1134"/>
      <c r="F148" s="1141"/>
      <c r="G148" s="1141"/>
      <c r="H148" s="1141"/>
      <c r="I148" s="1141"/>
      <c r="J148" s="1141"/>
      <c r="K148" s="1135"/>
      <c r="L148" s="1141"/>
      <c r="M148" s="1141"/>
      <c r="N148" s="1141"/>
      <c r="O148" s="1141"/>
      <c r="P148" s="1141"/>
      <c r="Q148" s="1141"/>
      <c r="R148" s="1141"/>
      <c r="S148" s="1141"/>
      <c r="T148" s="1141"/>
      <c r="U148" s="1135"/>
      <c r="V148" s="1141"/>
      <c r="W148" s="1141"/>
      <c r="X148" s="1141"/>
      <c r="Y148" s="1141"/>
      <c r="Z148" s="1141"/>
      <c r="AA148" s="1141"/>
      <c r="AB148" s="1141"/>
      <c r="AC148" s="1141"/>
      <c r="AD148" s="1141"/>
      <c r="AE148" s="1135"/>
      <c r="AF148" s="1141"/>
      <c r="AG148" s="1135"/>
      <c r="AH148" s="1141"/>
      <c r="AI148" s="1141"/>
      <c r="AJ148" s="1142"/>
      <c r="AK148" s="1137">
        <f t="shared" si="9"/>
        <v>0</v>
      </c>
      <c r="AL148" s="1137">
        <f t="shared" si="9"/>
        <v>0</v>
      </c>
    </row>
    <row r="149" spans="1:38" hidden="1" outlineLevel="2" x14ac:dyDescent="0.3">
      <c r="A149" s="1130"/>
      <c r="B149" s="1138"/>
      <c r="C149" s="1139"/>
      <c r="D149" s="1140"/>
      <c r="E149" s="1134"/>
      <c r="F149" s="1141"/>
      <c r="G149" s="1141"/>
      <c r="H149" s="1141"/>
      <c r="I149" s="1141"/>
      <c r="J149" s="1141"/>
      <c r="K149" s="1135"/>
      <c r="L149" s="1141"/>
      <c r="M149" s="1141"/>
      <c r="N149" s="1141"/>
      <c r="O149" s="1141"/>
      <c r="P149" s="1141"/>
      <c r="Q149" s="1141"/>
      <c r="R149" s="1141"/>
      <c r="S149" s="1141"/>
      <c r="T149" s="1141"/>
      <c r="U149" s="1135"/>
      <c r="V149" s="1141"/>
      <c r="W149" s="1141"/>
      <c r="X149" s="1141"/>
      <c r="Y149" s="1141"/>
      <c r="Z149" s="1141"/>
      <c r="AA149" s="1141"/>
      <c r="AB149" s="1141"/>
      <c r="AC149" s="1141"/>
      <c r="AD149" s="1141"/>
      <c r="AE149" s="1135"/>
      <c r="AF149" s="1141"/>
      <c r="AG149" s="1135"/>
      <c r="AH149" s="1141"/>
      <c r="AI149" s="1141"/>
      <c r="AJ149" s="1142"/>
      <c r="AK149" s="1137">
        <f t="shared" ref="AK149:AL166" si="10">SUM(E149,G149,I149)-SUM(K149,M149,O149,Q149,S149,U149,W149,Y149,AA149,AC149,AE149,AG149,AI149)</f>
        <v>0</v>
      </c>
      <c r="AL149" s="1137">
        <f t="shared" si="10"/>
        <v>0</v>
      </c>
    </row>
    <row r="150" spans="1:38" hidden="1" outlineLevel="2" x14ac:dyDescent="0.3">
      <c r="A150" s="1130"/>
      <c r="B150" s="1138"/>
      <c r="C150" s="1139"/>
      <c r="D150" s="1140"/>
      <c r="E150" s="1134"/>
      <c r="F150" s="1141"/>
      <c r="G150" s="1141"/>
      <c r="H150" s="1141"/>
      <c r="I150" s="1141"/>
      <c r="J150" s="1141"/>
      <c r="K150" s="1135"/>
      <c r="L150" s="1141"/>
      <c r="M150" s="1141"/>
      <c r="N150" s="1141"/>
      <c r="O150" s="1141"/>
      <c r="P150" s="1141"/>
      <c r="Q150" s="1141"/>
      <c r="R150" s="1141"/>
      <c r="S150" s="1141"/>
      <c r="T150" s="1141"/>
      <c r="U150" s="1135"/>
      <c r="V150" s="1141"/>
      <c r="W150" s="1141"/>
      <c r="X150" s="1141"/>
      <c r="Y150" s="1141"/>
      <c r="Z150" s="1141"/>
      <c r="AA150" s="1141"/>
      <c r="AB150" s="1141"/>
      <c r="AC150" s="1141"/>
      <c r="AD150" s="1141"/>
      <c r="AE150" s="1135"/>
      <c r="AF150" s="1141"/>
      <c r="AG150" s="1135"/>
      <c r="AH150" s="1141"/>
      <c r="AI150" s="1141"/>
      <c r="AJ150" s="1142"/>
      <c r="AK150" s="1137">
        <f t="shared" si="10"/>
        <v>0</v>
      </c>
      <c r="AL150" s="1137">
        <f t="shared" si="10"/>
        <v>0</v>
      </c>
    </row>
    <row r="151" spans="1:38" hidden="1" outlineLevel="2" x14ac:dyDescent="0.3">
      <c r="A151" s="1130"/>
      <c r="B151" s="1138"/>
      <c r="C151" s="1139"/>
      <c r="D151" s="1140"/>
      <c r="E151" s="1134"/>
      <c r="F151" s="1141"/>
      <c r="G151" s="1141"/>
      <c r="H151" s="1141"/>
      <c r="I151" s="1141"/>
      <c r="J151" s="1141"/>
      <c r="K151" s="1135"/>
      <c r="L151" s="1141"/>
      <c r="M151" s="1141"/>
      <c r="N151" s="1141"/>
      <c r="O151" s="1141"/>
      <c r="P151" s="1141"/>
      <c r="Q151" s="1141"/>
      <c r="R151" s="1141"/>
      <c r="S151" s="1141"/>
      <c r="T151" s="1141"/>
      <c r="U151" s="1135"/>
      <c r="V151" s="1141"/>
      <c r="W151" s="1141"/>
      <c r="X151" s="1141"/>
      <c r="Y151" s="1141"/>
      <c r="Z151" s="1141"/>
      <c r="AA151" s="1141"/>
      <c r="AB151" s="1141"/>
      <c r="AC151" s="1141"/>
      <c r="AD151" s="1141"/>
      <c r="AE151" s="1135"/>
      <c r="AF151" s="1141"/>
      <c r="AG151" s="1135"/>
      <c r="AH151" s="1141"/>
      <c r="AI151" s="1141"/>
      <c r="AJ151" s="1142"/>
      <c r="AK151" s="1137">
        <f t="shared" si="10"/>
        <v>0</v>
      </c>
      <c r="AL151" s="1137">
        <f t="shared" si="10"/>
        <v>0</v>
      </c>
    </row>
    <row r="152" spans="1:38" hidden="1" outlineLevel="2" x14ac:dyDescent="0.3">
      <c r="A152" s="1130"/>
      <c r="B152" s="1138"/>
      <c r="C152" s="1139"/>
      <c r="D152" s="1140"/>
      <c r="E152" s="1134"/>
      <c r="F152" s="1141"/>
      <c r="G152" s="1141"/>
      <c r="H152" s="1141"/>
      <c r="I152" s="1141"/>
      <c r="J152" s="1141"/>
      <c r="K152" s="1135"/>
      <c r="L152" s="1141"/>
      <c r="M152" s="1141"/>
      <c r="N152" s="1141"/>
      <c r="O152" s="1141"/>
      <c r="P152" s="1141"/>
      <c r="Q152" s="1141"/>
      <c r="R152" s="1141"/>
      <c r="S152" s="1141"/>
      <c r="T152" s="1141"/>
      <c r="U152" s="1135"/>
      <c r="V152" s="1141"/>
      <c r="W152" s="1141"/>
      <c r="X152" s="1141"/>
      <c r="Y152" s="1141"/>
      <c r="Z152" s="1141"/>
      <c r="AA152" s="1141"/>
      <c r="AB152" s="1141"/>
      <c r="AC152" s="1141"/>
      <c r="AD152" s="1141"/>
      <c r="AE152" s="1135"/>
      <c r="AF152" s="1141"/>
      <c r="AG152" s="1135"/>
      <c r="AH152" s="1141"/>
      <c r="AI152" s="1141"/>
      <c r="AJ152" s="1142"/>
      <c r="AK152" s="1137">
        <f t="shared" si="10"/>
        <v>0</v>
      </c>
      <c r="AL152" s="1137">
        <f t="shared" si="10"/>
        <v>0</v>
      </c>
    </row>
    <row r="153" spans="1:38" hidden="1" outlineLevel="2" x14ac:dyDescent="0.3">
      <c r="A153" s="1130"/>
      <c r="B153" s="1138"/>
      <c r="C153" s="1139"/>
      <c r="D153" s="1140"/>
      <c r="E153" s="1134"/>
      <c r="F153" s="1141"/>
      <c r="G153" s="1141"/>
      <c r="H153" s="1141"/>
      <c r="I153" s="1141"/>
      <c r="J153" s="1141"/>
      <c r="K153" s="1135"/>
      <c r="L153" s="1141"/>
      <c r="M153" s="1141"/>
      <c r="N153" s="1141"/>
      <c r="O153" s="1141"/>
      <c r="P153" s="1141"/>
      <c r="Q153" s="1141"/>
      <c r="R153" s="1141"/>
      <c r="S153" s="1141"/>
      <c r="T153" s="1141"/>
      <c r="U153" s="1135"/>
      <c r="V153" s="1141"/>
      <c r="W153" s="1141"/>
      <c r="X153" s="1141"/>
      <c r="Y153" s="1141"/>
      <c r="Z153" s="1141"/>
      <c r="AA153" s="1141"/>
      <c r="AB153" s="1141"/>
      <c r="AC153" s="1141"/>
      <c r="AD153" s="1141"/>
      <c r="AE153" s="1135"/>
      <c r="AF153" s="1141"/>
      <c r="AG153" s="1135"/>
      <c r="AH153" s="1141"/>
      <c r="AI153" s="1141"/>
      <c r="AJ153" s="1142"/>
      <c r="AK153" s="1137">
        <f t="shared" si="10"/>
        <v>0</v>
      </c>
      <c r="AL153" s="1137">
        <f t="shared" si="10"/>
        <v>0</v>
      </c>
    </row>
    <row r="154" spans="1:38" hidden="1" outlineLevel="2" x14ac:dyDescent="0.3">
      <c r="A154" s="1130"/>
      <c r="B154" s="1138"/>
      <c r="C154" s="1139"/>
      <c r="D154" s="1140"/>
      <c r="E154" s="1134"/>
      <c r="F154" s="1141"/>
      <c r="G154" s="1141"/>
      <c r="H154" s="1141"/>
      <c r="I154" s="1141"/>
      <c r="J154" s="1141"/>
      <c r="K154" s="1135"/>
      <c r="L154" s="1141"/>
      <c r="M154" s="1141"/>
      <c r="N154" s="1141"/>
      <c r="O154" s="1141"/>
      <c r="P154" s="1141"/>
      <c r="Q154" s="1141"/>
      <c r="R154" s="1141"/>
      <c r="S154" s="1141"/>
      <c r="T154" s="1141"/>
      <c r="U154" s="1135"/>
      <c r="V154" s="1141"/>
      <c r="W154" s="1141"/>
      <c r="X154" s="1141"/>
      <c r="Y154" s="1141"/>
      <c r="Z154" s="1141"/>
      <c r="AA154" s="1141"/>
      <c r="AB154" s="1141"/>
      <c r="AC154" s="1141"/>
      <c r="AD154" s="1141"/>
      <c r="AE154" s="1135"/>
      <c r="AF154" s="1141"/>
      <c r="AG154" s="1135"/>
      <c r="AH154" s="1141"/>
      <c r="AI154" s="1141"/>
      <c r="AJ154" s="1142"/>
      <c r="AK154" s="1137">
        <f t="shared" si="10"/>
        <v>0</v>
      </c>
      <c r="AL154" s="1137">
        <f t="shared" si="10"/>
        <v>0</v>
      </c>
    </row>
    <row r="155" spans="1:38" hidden="1" outlineLevel="2" x14ac:dyDescent="0.3">
      <c r="A155" s="1130"/>
      <c r="B155" s="1138"/>
      <c r="C155" s="1139"/>
      <c r="D155" s="1140"/>
      <c r="E155" s="1134"/>
      <c r="F155" s="1141"/>
      <c r="G155" s="1141"/>
      <c r="H155" s="1141"/>
      <c r="I155" s="1141"/>
      <c r="J155" s="1141"/>
      <c r="K155" s="1135"/>
      <c r="L155" s="1141"/>
      <c r="M155" s="1141"/>
      <c r="N155" s="1141"/>
      <c r="O155" s="1141"/>
      <c r="P155" s="1141"/>
      <c r="Q155" s="1141"/>
      <c r="R155" s="1141"/>
      <c r="S155" s="1141"/>
      <c r="T155" s="1141"/>
      <c r="U155" s="1135"/>
      <c r="V155" s="1141"/>
      <c r="W155" s="1141"/>
      <c r="X155" s="1141"/>
      <c r="Y155" s="1141"/>
      <c r="Z155" s="1141"/>
      <c r="AA155" s="1141"/>
      <c r="AB155" s="1141"/>
      <c r="AC155" s="1141"/>
      <c r="AD155" s="1141"/>
      <c r="AE155" s="1135"/>
      <c r="AF155" s="1141"/>
      <c r="AG155" s="1135"/>
      <c r="AH155" s="1141"/>
      <c r="AI155" s="1141"/>
      <c r="AJ155" s="1142"/>
      <c r="AK155" s="1137">
        <f t="shared" si="10"/>
        <v>0</v>
      </c>
      <c r="AL155" s="1137">
        <f t="shared" si="10"/>
        <v>0</v>
      </c>
    </row>
    <row r="156" spans="1:38" hidden="1" outlineLevel="2" x14ac:dyDescent="0.3">
      <c r="A156" s="1130"/>
      <c r="B156" s="1138"/>
      <c r="C156" s="1139"/>
      <c r="D156" s="1140"/>
      <c r="E156" s="1134"/>
      <c r="F156" s="1141"/>
      <c r="G156" s="1141"/>
      <c r="H156" s="1141"/>
      <c r="I156" s="1141"/>
      <c r="J156" s="1141"/>
      <c r="K156" s="1135"/>
      <c r="L156" s="1141"/>
      <c r="M156" s="1141"/>
      <c r="N156" s="1141"/>
      <c r="O156" s="1141"/>
      <c r="P156" s="1141"/>
      <c r="Q156" s="1141"/>
      <c r="R156" s="1141"/>
      <c r="S156" s="1141"/>
      <c r="T156" s="1141"/>
      <c r="U156" s="1135"/>
      <c r="V156" s="1141"/>
      <c r="W156" s="1141"/>
      <c r="X156" s="1141"/>
      <c r="Y156" s="1141"/>
      <c r="Z156" s="1141"/>
      <c r="AA156" s="1141"/>
      <c r="AB156" s="1141"/>
      <c r="AC156" s="1141"/>
      <c r="AD156" s="1141"/>
      <c r="AE156" s="1135"/>
      <c r="AF156" s="1141"/>
      <c r="AG156" s="1135"/>
      <c r="AH156" s="1141"/>
      <c r="AI156" s="1141"/>
      <c r="AJ156" s="1142"/>
      <c r="AK156" s="1137">
        <f t="shared" si="10"/>
        <v>0</v>
      </c>
      <c r="AL156" s="1137">
        <f t="shared" si="10"/>
        <v>0</v>
      </c>
    </row>
    <row r="157" spans="1:38" hidden="1" outlineLevel="2" x14ac:dyDescent="0.3">
      <c r="A157" s="1130"/>
      <c r="B157" s="1138"/>
      <c r="C157" s="1139"/>
      <c r="D157" s="1140"/>
      <c r="E157" s="1134"/>
      <c r="F157" s="1141"/>
      <c r="G157" s="1141"/>
      <c r="H157" s="1141"/>
      <c r="I157" s="1141"/>
      <c r="J157" s="1141"/>
      <c r="K157" s="1135"/>
      <c r="L157" s="1141"/>
      <c r="M157" s="1141"/>
      <c r="N157" s="1141"/>
      <c r="O157" s="1141"/>
      <c r="P157" s="1141"/>
      <c r="Q157" s="1141"/>
      <c r="R157" s="1141"/>
      <c r="S157" s="1141"/>
      <c r="T157" s="1141"/>
      <c r="U157" s="1135"/>
      <c r="V157" s="1141"/>
      <c r="W157" s="1141"/>
      <c r="X157" s="1141"/>
      <c r="Y157" s="1141"/>
      <c r="Z157" s="1141"/>
      <c r="AA157" s="1141"/>
      <c r="AB157" s="1141"/>
      <c r="AC157" s="1141"/>
      <c r="AD157" s="1141"/>
      <c r="AE157" s="1135"/>
      <c r="AF157" s="1141"/>
      <c r="AG157" s="1135"/>
      <c r="AH157" s="1141"/>
      <c r="AI157" s="1141"/>
      <c r="AJ157" s="1142"/>
      <c r="AK157" s="1137">
        <f t="shared" si="10"/>
        <v>0</v>
      </c>
      <c r="AL157" s="1137">
        <f t="shared" si="10"/>
        <v>0</v>
      </c>
    </row>
    <row r="158" spans="1:38" hidden="1" outlineLevel="2" x14ac:dyDescent="0.3">
      <c r="A158" s="1130"/>
      <c r="B158" s="1138"/>
      <c r="C158" s="1139"/>
      <c r="D158" s="1140"/>
      <c r="E158" s="1134"/>
      <c r="F158" s="1141"/>
      <c r="G158" s="1141"/>
      <c r="H158" s="1141"/>
      <c r="I158" s="1141"/>
      <c r="J158" s="1141"/>
      <c r="K158" s="1135"/>
      <c r="L158" s="1141"/>
      <c r="M158" s="1141"/>
      <c r="N158" s="1141"/>
      <c r="O158" s="1141"/>
      <c r="P158" s="1141"/>
      <c r="Q158" s="1141"/>
      <c r="R158" s="1141"/>
      <c r="S158" s="1141"/>
      <c r="T158" s="1141"/>
      <c r="U158" s="1135"/>
      <c r="V158" s="1141"/>
      <c r="W158" s="1141"/>
      <c r="X158" s="1141"/>
      <c r="Y158" s="1141"/>
      <c r="Z158" s="1141"/>
      <c r="AA158" s="1141"/>
      <c r="AB158" s="1141"/>
      <c r="AC158" s="1141"/>
      <c r="AD158" s="1141"/>
      <c r="AE158" s="1135"/>
      <c r="AF158" s="1141"/>
      <c r="AG158" s="1135"/>
      <c r="AH158" s="1141"/>
      <c r="AI158" s="1141"/>
      <c r="AJ158" s="1142"/>
      <c r="AK158" s="1137">
        <f t="shared" si="10"/>
        <v>0</v>
      </c>
      <c r="AL158" s="1137">
        <f t="shared" si="10"/>
        <v>0</v>
      </c>
    </row>
    <row r="159" spans="1:38" hidden="1" outlineLevel="2" x14ac:dyDescent="0.3">
      <c r="A159" s="1130"/>
      <c r="B159" s="1138"/>
      <c r="C159" s="1139"/>
      <c r="D159" s="1140"/>
      <c r="E159" s="1134"/>
      <c r="F159" s="1141"/>
      <c r="G159" s="1141"/>
      <c r="H159" s="1141"/>
      <c r="I159" s="1141"/>
      <c r="J159" s="1141"/>
      <c r="K159" s="1135"/>
      <c r="L159" s="1141"/>
      <c r="M159" s="1141"/>
      <c r="N159" s="1141"/>
      <c r="O159" s="1141"/>
      <c r="P159" s="1141"/>
      <c r="Q159" s="1141"/>
      <c r="R159" s="1141"/>
      <c r="S159" s="1141"/>
      <c r="T159" s="1141"/>
      <c r="U159" s="1135"/>
      <c r="V159" s="1141"/>
      <c r="W159" s="1141"/>
      <c r="X159" s="1141"/>
      <c r="Y159" s="1141"/>
      <c r="Z159" s="1141"/>
      <c r="AA159" s="1141"/>
      <c r="AB159" s="1141"/>
      <c r="AC159" s="1141"/>
      <c r="AD159" s="1141"/>
      <c r="AE159" s="1135"/>
      <c r="AF159" s="1141"/>
      <c r="AG159" s="1135"/>
      <c r="AH159" s="1141"/>
      <c r="AI159" s="1141"/>
      <c r="AJ159" s="1142"/>
      <c r="AK159" s="1137">
        <f t="shared" si="10"/>
        <v>0</v>
      </c>
      <c r="AL159" s="1137">
        <f t="shared" si="10"/>
        <v>0</v>
      </c>
    </row>
    <row r="160" spans="1:38" hidden="1" outlineLevel="2" x14ac:dyDescent="0.3">
      <c r="A160" s="1130"/>
      <c r="B160" s="1138"/>
      <c r="C160" s="1139"/>
      <c r="D160" s="1140"/>
      <c r="E160" s="1134"/>
      <c r="F160" s="1141"/>
      <c r="G160" s="1141"/>
      <c r="H160" s="1141"/>
      <c r="I160" s="1141"/>
      <c r="J160" s="1141"/>
      <c r="K160" s="1135"/>
      <c r="L160" s="1141"/>
      <c r="M160" s="1141"/>
      <c r="N160" s="1141"/>
      <c r="O160" s="1141"/>
      <c r="P160" s="1141"/>
      <c r="Q160" s="1141"/>
      <c r="R160" s="1141"/>
      <c r="S160" s="1141"/>
      <c r="T160" s="1141"/>
      <c r="U160" s="1135"/>
      <c r="V160" s="1141"/>
      <c r="W160" s="1141"/>
      <c r="X160" s="1141"/>
      <c r="Y160" s="1141"/>
      <c r="Z160" s="1141"/>
      <c r="AA160" s="1141"/>
      <c r="AB160" s="1141"/>
      <c r="AC160" s="1141"/>
      <c r="AD160" s="1141"/>
      <c r="AE160" s="1135"/>
      <c r="AF160" s="1141"/>
      <c r="AG160" s="1135"/>
      <c r="AH160" s="1141"/>
      <c r="AI160" s="1141"/>
      <c r="AJ160" s="1142"/>
      <c r="AK160" s="1137">
        <f t="shared" si="10"/>
        <v>0</v>
      </c>
      <c r="AL160" s="1137">
        <f t="shared" si="10"/>
        <v>0</v>
      </c>
    </row>
    <row r="161" spans="1:38" hidden="1" outlineLevel="2" x14ac:dyDescent="0.3">
      <c r="A161" s="1130"/>
      <c r="B161" s="1138"/>
      <c r="C161" s="1139"/>
      <c r="D161" s="1140"/>
      <c r="E161" s="1134"/>
      <c r="F161" s="1141"/>
      <c r="G161" s="1141"/>
      <c r="H161" s="1141"/>
      <c r="I161" s="1141"/>
      <c r="J161" s="1141"/>
      <c r="K161" s="1135"/>
      <c r="L161" s="1141"/>
      <c r="M161" s="1141"/>
      <c r="N161" s="1141"/>
      <c r="O161" s="1141"/>
      <c r="P161" s="1141"/>
      <c r="Q161" s="1141"/>
      <c r="R161" s="1141"/>
      <c r="S161" s="1141"/>
      <c r="T161" s="1141"/>
      <c r="U161" s="1135"/>
      <c r="V161" s="1141"/>
      <c r="W161" s="1141"/>
      <c r="X161" s="1141"/>
      <c r="Y161" s="1141"/>
      <c r="Z161" s="1141"/>
      <c r="AA161" s="1141"/>
      <c r="AB161" s="1141"/>
      <c r="AC161" s="1141"/>
      <c r="AD161" s="1141"/>
      <c r="AE161" s="1135"/>
      <c r="AF161" s="1141"/>
      <c r="AG161" s="1135"/>
      <c r="AH161" s="1141"/>
      <c r="AI161" s="1141"/>
      <c r="AJ161" s="1142"/>
      <c r="AK161" s="1137">
        <f t="shared" si="10"/>
        <v>0</v>
      </c>
      <c r="AL161" s="1137">
        <f t="shared" si="10"/>
        <v>0</v>
      </c>
    </row>
    <row r="162" spans="1:38" hidden="1" outlineLevel="2" x14ac:dyDescent="0.3">
      <c r="A162" s="1130"/>
      <c r="B162" s="1138"/>
      <c r="C162" s="1139"/>
      <c r="D162" s="1140"/>
      <c r="E162" s="1134"/>
      <c r="F162" s="1141"/>
      <c r="G162" s="1141"/>
      <c r="H162" s="1141"/>
      <c r="I162" s="1141"/>
      <c r="J162" s="1141"/>
      <c r="K162" s="1135"/>
      <c r="L162" s="1141"/>
      <c r="M162" s="1141"/>
      <c r="N162" s="1141"/>
      <c r="O162" s="1141"/>
      <c r="P162" s="1141"/>
      <c r="Q162" s="1141"/>
      <c r="R162" s="1141"/>
      <c r="S162" s="1141"/>
      <c r="T162" s="1141"/>
      <c r="U162" s="1135"/>
      <c r="V162" s="1141"/>
      <c r="W162" s="1141"/>
      <c r="X162" s="1141"/>
      <c r="Y162" s="1141"/>
      <c r="Z162" s="1141"/>
      <c r="AA162" s="1141"/>
      <c r="AB162" s="1141"/>
      <c r="AC162" s="1141"/>
      <c r="AD162" s="1141"/>
      <c r="AE162" s="1135"/>
      <c r="AF162" s="1141"/>
      <c r="AG162" s="1135"/>
      <c r="AH162" s="1141"/>
      <c r="AI162" s="1141"/>
      <c r="AJ162" s="1142"/>
      <c r="AK162" s="1137">
        <f t="shared" si="10"/>
        <v>0</v>
      </c>
      <c r="AL162" s="1137">
        <f t="shared" si="10"/>
        <v>0</v>
      </c>
    </row>
    <row r="163" spans="1:38" hidden="1" outlineLevel="2" x14ac:dyDescent="0.3">
      <c r="A163" s="1130"/>
      <c r="B163" s="1138"/>
      <c r="C163" s="1139"/>
      <c r="D163" s="1140"/>
      <c r="E163" s="1134"/>
      <c r="F163" s="1141"/>
      <c r="G163" s="1141"/>
      <c r="H163" s="1141"/>
      <c r="I163" s="1141"/>
      <c r="J163" s="1141"/>
      <c r="K163" s="1135"/>
      <c r="L163" s="1141"/>
      <c r="M163" s="1141"/>
      <c r="N163" s="1141"/>
      <c r="O163" s="1141"/>
      <c r="P163" s="1141"/>
      <c r="Q163" s="1141"/>
      <c r="R163" s="1141"/>
      <c r="S163" s="1141"/>
      <c r="T163" s="1141"/>
      <c r="U163" s="1135"/>
      <c r="V163" s="1141"/>
      <c r="W163" s="1141"/>
      <c r="X163" s="1141"/>
      <c r="Y163" s="1141"/>
      <c r="Z163" s="1141"/>
      <c r="AA163" s="1141"/>
      <c r="AB163" s="1141"/>
      <c r="AC163" s="1141"/>
      <c r="AD163" s="1141"/>
      <c r="AE163" s="1135"/>
      <c r="AF163" s="1141"/>
      <c r="AG163" s="1135"/>
      <c r="AH163" s="1141"/>
      <c r="AI163" s="1141"/>
      <c r="AJ163" s="1142"/>
      <c r="AK163" s="1137">
        <f t="shared" si="10"/>
        <v>0</v>
      </c>
      <c r="AL163" s="1137">
        <f t="shared" si="10"/>
        <v>0</v>
      </c>
    </row>
    <row r="164" spans="1:38" hidden="1" outlineLevel="2" x14ac:dyDescent="0.3">
      <c r="A164" s="1130"/>
      <c r="B164" s="1138"/>
      <c r="C164" s="1139"/>
      <c r="D164" s="1140"/>
      <c r="E164" s="1134"/>
      <c r="F164" s="1141"/>
      <c r="G164" s="1141"/>
      <c r="H164" s="1141"/>
      <c r="I164" s="1141"/>
      <c r="J164" s="1141"/>
      <c r="K164" s="1135"/>
      <c r="L164" s="1141"/>
      <c r="M164" s="1141"/>
      <c r="N164" s="1141"/>
      <c r="O164" s="1141"/>
      <c r="P164" s="1141"/>
      <c r="Q164" s="1141"/>
      <c r="R164" s="1141"/>
      <c r="S164" s="1141"/>
      <c r="T164" s="1141"/>
      <c r="U164" s="1135"/>
      <c r="V164" s="1141"/>
      <c r="W164" s="1141"/>
      <c r="X164" s="1141"/>
      <c r="Y164" s="1141"/>
      <c r="Z164" s="1141"/>
      <c r="AA164" s="1141"/>
      <c r="AB164" s="1141"/>
      <c r="AC164" s="1141"/>
      <c r="AD164" s="1141"/>
      <c r="AE164" s="1135"/>
      <c r="AF164" s="1141"/>
      <c r="AG164" s="1135"/>
      <c r="AH164" s="1141"/>
      <c r="AI164" s="1141"/>
      <c r="AJ164" s="1142"/>
      <c r="AK164" s="1137">
        <f t="shared" si="10"/>
        <v>0</v>
      </c>
      <c r="AL164" s="1137">
        <f t="shared" si="10"/>
        <v>0</v>
      </c>
    </row>
    <row r="165" spans="1:38" hidden="1" outlineLevel="2" x14ac:dyDescent="0.3">
      <c r="A165" s="1130"/>
      <c r="B165" s="1138"/>
      <c r="C165" s="1139"/>
      <c r="D165" s="1140"/>
      <c r="E165" s="1134"/>
      <c r="F165" s="1141"/>
      <c r="G165" s="1141"/>
      <c r="H165" s="1141"/>
      <c r="I165" s="1141"/>
      <c r="J165" s="1141"/>
      <c r="K165" s="1135"/>
      <c r="L165" s="1141"/>
      <c r="M165" s="1141"/>
      <c r="N165" s="1141"/>
      <c r="O165" s="1141"/>
      <c r="P165" s="1141"/>
      <c r="Q165" s="1141"/>
      <c r="R165" s="1141"/>
      <c r="S165" s="1141"/>
      <c r="T165" s="1141"/>
      <c r="U165" s="1135"/>
      <c r="V165" s="1141"/>
      <c r="W165" s="1141"/>
      <c r="X165" s="1141"/>
      <c r="Y165" s="1141"/>
      <c r="Z165" s="1141"/>
      <c r="AA165" s="1141"/>
      <c r="AB165" s="1141"/>
      <c r="AC165" s="1141"/>
      <c r="AD165" s="1141"/>
      <c r="AE165" s="1135"/>
      <c r="AF165" s="1141"/>
      <c r="AG165" s="1135"/>
      <c r="AH165" s="1141"/>
      <c r="AI165" s="1141"/>
      <c r="AJ165" s="1142"/>
      <c r="AK165" s="1137">
        <f t="shared" si="10"/>
        <v>0</v>
      </c>
      <c r="AL165" s="1137">
        <f t="shared" si="10"/>
        <v>0</v>
      </c>
    </row>
    <row r="166" spans="1:38" hidden="1" outlineLevel="2" x14ac:dyDescent="0.3">
      <c r="A166" s="1130"/>
      <c r="B166" s="1138"/>
      <c r="C166" s="1139"/>
      <c r="D166" s="1140"/>
      <c r="E166" s="1134"/>
      <c r="F166" s="1141"/>
      <c r="G166" s="1141"/>
      <c r="H166" s="1141"/>
      <c r="I166" s="1141"/>
      <c r="J166" s="1141"/>
      <c r="K166" s="1135"/>
      <c r="L166" s="1141"/>
      <c r="M166" s="1141"/>
      <c r="N166" s="1141"/>
      <c r="O166" s="1141"/>
      <c r="P166" s="1141"/>
      <c r="Q166" s="1141"/>
      <c r="R166" s="1141"/>
      <c r="S166" s="1141"/>
      <c r="T166" s="1141"/>
      <c r="U166" s="1135"/>
      <c r="V166" s="1141"/>
      <c r="W166" s="1141"/>
      <c r="X166" s="1141"/>
      <c r="Y166" s="1141"/>
      <c r="Z166" s="1141"/>
      <c r="AA166" s="1141"/>
      <c r="AB166" s="1141"/>
      <c r="AC166" s="1141"/>
      <c r="AD166" s="1141"/>
      <c r="AE166" s="1135"/>
      <c r="AF166" s="1141"/>
      <c r="AG166" s="1135"/>
      <c r="AH166" s="1141"/>
      <c r="AI166" s="1141"/>
      <c r="AJ166" s="1142"/>
      <c r="AK166" s="1137">
        <f t="shared" si="10"/>
        <v>0</v>
      </c>
      <c r="AL166" s="1137">
        <f t="shared" si="10"/>
        <v>0</v>
      </c>
    </row>
    <row r="167" spans="1:38" hidden="1" outlineLevel="2" x14ac:dyDescent="0.3">
      <c r="A167" s="1130"/>
      <c r="B167" s="1138"/>
      <c r="C167" s="1139"/>
      <c r="D167" s="1140"/>
      <c r="E167" s="1143"/>
      <c r="F167" s="1141"/>
      <c r="G167" s="1141"/>
      <c r="H167" s="1141"/>
      <c r="I167" s="1141"/>
      <c r="J167" s="1141"/>
      <c r="K167" s="1141"/>
      <c r="L167" s="1141"/>
      <c r="M167" s="1141"/>
      <c r="N167" s="1141"/>
      <c r="O167" s="1141"/>
      <c r="P167" s="1141"/>
      <c r="Q167" s="1141"/>
      <c r="R167" s="1141"/>
      <c r="S167" s="1141"/>
      <c r="T167" s="1141"/>
      <c r="U167" s="1135"/>
      <c r="V167" s="1141"/>
      <c r="W167" s="1141"/>
      <c r="X167" s="1141"/>
      <c r="Y167" s="1141"/>
      <c r="Z167" s="1141"/>
      <c r="AA167" s="1141"/>
      <c r="AB167" s="1141"/>
      <c r="AC167" s="1141"/>
      <c r="AD167" s="1141"/>
      <c r="AE167" s="1135"/>
      <c r="AF167" s="1141"/>
      <c r="AG167" s="1135"/>
      <c r="AH167" s="1141"/>
      <c r="AI167" s="1141"/>
      <c r="AJ167" s="1142"/>
      <c r="AK167" s="1137"/>
      <c r="AL167" s="1144"/>
    </row>
    <row r="168" spans="1:38" hidden="1" outlineLevel="2" x14ac:dyDescent="0.3">
      <c r="A168" s="1130"/>
      <c r="B168" s="1138"/>
      <c r="C168" s="1139"/>
      <c r="D168" s="1140"/>
      <c r="E168" s="1143"/>
      <c r="F168" s="1141"/>
      <c r="G168" s="1141"/>
      <c r="H168" s="1141"/>
      <c r="I168" s="1141"/>
      <c r="J168" s="1141"/>
      <c r="K168" s="1141"/>
      <c r="L168" s="1141"/>
      <c r="M168" s="1141"/>
      <c r="N168" s="1141"/>
      <c r="O168" s="1141"/>
      <c r="P168" s="1141"/>
      <c r="Q168" s="1141"/>
      <c r="R168" s="1141"/>
      <c r="S168" s="1141"/>
      <c r="T168" s="1141"/>
      <c r="U168" s="1141"/>
      <c r="V168" s="1141"/>
      <c r="W168" s="1141"/>
      <c r="X168" s="1141"/>
      <c r="Y168" s="1141"/>
      <c r="Z168" s="1141"/>
      <c r="AA168" s="1141"/>
      <c r="AB168" s="1141"/>
      <c r="AC168" s="1141"/>
      <c r="AD168" s="1141"/>
      <c r="AE168" s="1141"/>
      <c r="AF168" s="1141"/>
      <c r="AG168" s="1141"/>
      <c r="AH168" s="1141"/>
      <c r="AI168" s="1141"/>
      <c r="AJ168" s="1142"/>
      <c r="AK168" s="1142"/>
      <c r="AL168" s="1144"/>
    </row>
    <row r="169" spans="1:38" ht="15" outlineLevel="1" collapsed="1" thickBot="1" x14ac:dyDescent="0.35">
      <c r="A169" s="1130"/>
      <c r="B169" s="1145" t="s">
        <v>550</v>
      </c>
      <c r="C169" s="1146"/>
      <c r="D169" s="1147"/>
      <c r="E169" s="1148">
        <f t="shared" ref="E169:AL169" si="11">SUBTOTAL(9,E117:E168)</f>
        <v>0</v>
      </c>
      <c r="F169" s="1149">
        <f t="shared" si="11"/>
        <v>0</v>
      </c>
      <c r="G169" s="1149">
        <f t="shared" si="11"/>
        <v>0</v>
      </c>
      <c r="H169" s="1149">
        <f t="shared" si="11"/>
        <v>0</v>
      </c>
      <c r="I169" s="1149">
        <f t="shared" si="11"/>
        <v>0</v>
      </c>
      <c r="J169" s="1149">
        <f t="shared" si="11"/>
        <v>0</v>
      </c>
      <c r="K169" s="1149">
        <f t="shared" si="11"/>
        <v>0</v>
      </c>
      <c r="L169" s="1149">
        <f t="shared" si="11"/>
        <v>0</v>
      </c>
      <c r="M169" s="1149">
        <f t="shared" si="11"/>
        <v>0</v>
      </c>
      <c r="N169" s="1149">
        <f t="shared" si="11"/>
        <v>0</v>
      </c>
      <c r="O169" s="1149">
        <f t="shared" si="11"/>
        <v>0</v>
      </c>
      <c r="P169" s="1149">
        <f t="shared" si="11"/>
        <v>0</v>
      </c>
      <c r="Q169" s="1149">
        <f t="shared" si="11"/>
        <v>0</v>
      </c>
      <c r="R169" s="1149">
        <f t="shared" si="11"/>
        <v>0</v>
      </c>
      <c r="S169" s="1149">
        <f t="shared" si="11"/>
        <v>0</v>
      </c>
      <c r="T169" s="1149">
        <f t="shared" si="11"/>
        <v>0</v>
      </c>
      <c r="U169" s="1149">
        <f t="shared" si="11"/>
        <v>0</v>
      </c>
      <c r="V169" s="1149">
        <f t="shared" si="11"/>
        <v>0</v>
      </c>
      <c r="W169" s="1149">
        <f t="shared" si="11"/>
        <v>0</v>
      </c>
      <c r="X169" s="1149">
        <f t="shared" si="11"/>
        <v>0</v>
      </c>
      <c r="Y169" s="1149">
        <f t="shared" si="11"/>
        <v>0</v>
      </c>
      <c r="Z169" s="1149">
        <f t="shared" si="11"/>
        <v>0</v>
      </c>
      <c r="AA169" s="1149">
        <f t="shared" si="11"/>
        <v>0</v>
      </c>
      <c r="AB169" s="1149">
        <f t="shared" si="11"/>
        <v>0</v>
      </c>
      <c r="AC169" s="1149">
        <f t="shared" si="11"/>
        <v>0</v>
      </c>
      <c r="AD169" s="1149">
        <f t="shared" si="11"/>
        <v>0</v>
      </c>
      <c r="AE169" s="1149">
        <f t="shared" si="11"/>
        <v>0</v>
      </c>
      <c r="AF169" s="1149">
        <f t="shared" si="11"/>
        <v>0</v>
      </c>
      <c r="AG169" s="1149">
        <f t="shared" si="11"/>
        <v>0</v>
      </c>
      <c r="AH169" s="1149">
        <f t="shared" si="11"/>
        <v>0</v>
      </c>
      <c r="AI169" s="1149">
        <f t="shared" si="11"/>
        <v>0</v>
      </c>
      <c r="AJ169" s="1149">
        <f t="shared" si="11"/>
        <v>0</v>
      </c>
      <c r="AK169" s="1149">
        <f t="shared" si="11"/>
        <v>0</v>
      </c>
      <c r="AL169" s="1149">
        <f t="shared" si="11"/>
        <v>0</v>
      </c>
    </row>
    <row r="170" spans="1:38" ht="36" outlineLevel="1" x14ac:dyDescent="0.35">
      <c r="A170" s="1150" t="s">
        <v>1460</v>
      </c>
      <c r="B170" s="1151"/>
      <c r="C170" s="1152"/>
      <c r="D170" s="1153"/>
      <c r="E170" s="1154"/>
      <c r="F170" s="1155"/>
      <c r="G170" s="1155"/>
      <c r="H170" s="1155"/>
      <c r="I170" s="1155"/>
      <c r="J170" s="1155"/>
      <c r="K170" s="1155"/>
      <c r="L170" s="1155"/>
      <c r="M170" s="1155"/>
      <c r="N170" s="1155"/>
      <c r="O170" s="1155"/>
      <c r="P170" s="1155"/>
      <c r="Q170" s="1155"/>
      <c r="R170" s="1155"/>
      <c r="S170" s="1155"/>
      <c r="T170" s="1155"/>
      <c r="U170" s="1155"/>
      <c r="V170" s="1155"/>
      <c r="W170" s="1155"/>
      <c r="X170" s="1155"/>
      <c r="Y170" s="1155"/>
      <c r="Z170" s="1155"/>
      <c r="AA170" s="1155"/>
      <c r="AB170" s="1155"/>
      <c r="AC170" s="1155"/>
      <c r="AD170" s="1155"/>
      <c r="AE170" s="1155"/>
      <c r="AF170" s="1155"/>
      <c r="AG170" s="1155"/>
      <c r="AH170" s="1155"/>
      <c r="AI170" s="1155"/>
      <c r="AJ170" s="1156"/>
      <c r="AK170" s="1156"/>
      <c r="AL170" s="1157"/>
    </row>
    <row r="171" spans="1:38" hidden="1" outlineLevel="2" x14ac:dyDescent="0.3">
      <c r="A171" s="1158"/>
      <c r="B171" s="1159"/>
      <c r="C171" s="1160"/>
      <c r="D171" s="1161"/>
      <c r="E171" s="1162"/>
      <c r="F171" s="1163"/>
      <c r="G171" s="1163"/>
      <c r="H171" s="1163"/>
      <c r="I171" s="1163"/>
      <c r="J171" s="1163"/>
      <c r="K171" s="1163"/>
      <c r="L171" s="1163"/>
      <c r="M171" s="1163"/>
      <c r="N171" s="1163"/>
      <c r="O171" s="1163"/>
      <c r="P171" s="1163"/>
      <c r="Q171" s="1163"/>
      <c r="R171" s="1163"/>
      <c r="S171" s="1163"/>
      <c r="T171" s="1163"/>
      <c r="U171" s="1163"/>
      <c r="V171" s="1163"/>
      <c r="W171" s="1163"/>
      <c r="X171" s="1163"/>
      <c r="Y171" s="1163"/>
      <c r="Z171" s="1163"/>
      <c r="AA171" s="1163"/>
      <c r="AB171" s="1163"/>
      <c r="AC171" s="1163"/>
      <c r="AD171" s="1163"/>
      <c r="AE171" s="1163"/>
      <c r="AF171" s="1163"/>
      <c r="AG171" s="1163"/>
      <c r="AH171" s="1163"/>
      <c r="AI171" s="1163"/>
      <c r="AJ171" s="1164"/>
      <c r="AK171" s="1164"/>
      <c r="AL171" s="1165"/>
    </row>
    <row r="172" spans="1:38" hidden="1" outlineLevel="2" x14ac:dyDescent="0.3">
      <c r="A172" s="1158"/>
      <c r="B172" s="1159"/>
      <c r="C172" s="1160"/>
      <c r="D172" s="1161"/>
      <c r="E172" s="1162"/>
      <c r="F172" s="1163"/>
      <c r="G172" s="1163"/>
      <c r="H172" s="1163"/>
      <c r="I172" s="1163"/>
      <c r="J172" s="1163"/>
      <c r="K172" s="1163"/>
      <c r="L172" s="1163"/>
      <c r="M172" s="1163"/>
      <c r="N172" s="1163"/>
      <c r="O172" s="1163"/>
      <c r="P172" s="1163"/>
      <c r="Q172" s="1163"/>
      <c r="R172" s="1163"/>
      <c r="S172" s="1163"/>
      <c r="T172" s="1163"/>
      <c r="U172" s="1163"/>
      <c r="V172" s="1163"/>
      <c r="W172" s="1163"/>
      <c r="X172" s="1163"/>
      <c r="Y172" s="1163"/>
      <c r="Z172" s="1163"/>
      <c r="AA172" s="1163"/>
      <c r="AB172" s="1163"/>
      <c r="AC172" s="1163"/>
      <c r="AD172" s="1163"/>
      <c r="AE172" s="1163"/>
      <c r="AF172" s="1163"/>
      <c r="AG172" s="1163"/>
      <c r="AH172" s="1163"/>
      <c r="AI172" s="1163"/>
      <c r="AJ172" s="1164"/>
      <c r="AK172" s="1164"/>
      <c r="AL172" s="1165"/>
    </row>
    <row r="173" spans="1:38" hidden="1" outlineLevel="2" x14ac:dyDescent="0.3">
      <c r="A173" s="1158"/>
      <c r="B173" s="1159"/>
      <c r="C173" s="1160"/>
      <c r="D173" s="1161"/>
      <c r="E173" s="1162"/>
      <c r="F173" s="1163"/>
      <c r="G173" s="1163"/>
      <c r="H173" s="1163"/>
      <c r="I173" s="1163"/>
      <c r="J173" s="1163"/>
      <c r="K173" s="1163"/>
      <c r="L173" s="1163"/>
      <c r="M173" s="1163"/>
      <c r="N173" s="1163"/>
      <c r="O173" s="1163"/>
      <c r="P173" s="1163"/>
      <c r="Q173" s="1163"/>
      <c r="R173" s="1163"/>
      <c r="S173" s="1163"/>
      <c r="T173" s="1163"/>
      <c r="U173" s="1163"/>
      <c r="V173" s="1163"/>
      <c r="W173" s="1163"/>
      <c r="X173" s="1163"/>
      <c r="Y173" s="1163"/>
      <c r="Z173" s="1163"/>
      <c r="AA173" s="1163"/>
      <c r="AB173" s="1163"/>
      <c r="AC173" s="1163"/>
      <c r="AD173" s="1163"/>
      <c r="AE173" s="1163"/>
      <c r="AF173" s="1163"/>
      <c r="AG173" s="1163"/>
      <c r="AH173" s="1163"/>
      <c r="AI173" s="1163"/>
      <c r="AJ173" s="1164"/>
      <c r="AK173" s="1164"/>
      <c r="AL173" s="1165"/>
    </row>
    <row r="174" spans="1:38" hidden="1" outlineLevel="2" x14ac:dyDescent="0.3">
      <c r="A174" s="1158"/>
      <c r="B174" s="1166"/>
      <c r="C174" s="1167"/>
      <c r="D174" s="1168"/>
      <c r="E174" s="1169"/>
      <c r="F174" s="1170"/>
      <c r="G174" s="1170"/>
      <c r="H174" s="1170"/>
      <c r="I174" s="1170"/>
      <c r="J174" s="1170"/>
      <c r="K174" s="1170"/>
      <c r="L174" s="1170"/>
      <c r="M174" s="1170"/>
      <c r="N174" s="1170"/>
      <c r="O174" s="1170"/>
      <c r="P174" s="1170"/>
      <c r="Q174" s="1170"/>
      <c r="R174" s="1170"/>
      <c r="S174" s="1170"/>
      <c r="T174" s="1170"/>
      <c r="U174" s="1170"/>
      <c r="V174" s="1170"/>
      <c r="W174" s="1170"/>
      <c r="X174" s="1170"/>
      <c r="Y174" s="1170"/>
      <c r="Z174" s="1170"/>
      <c r="AA174" s="1170"/>
      <c r="AB174" s="1170"/>
      <c r="AC174" s="1170"/>
      <c r="AD174" s="1170"/>
      <c r="AE174" s="1170"/>
      <c r="AF174" s="1170"/>
      <c r="AG174" s="1170"/>
      <c r="AH174" s="1170"/>
      <c r="AI174" s="1170"/>
      <c r="AJ174" s="1171"/>
      <c r="AK174" s="1171"/>
      <c r="AL174" s="1172"/>
    </row>
    <row r="175" spans="1:38" hidden="1" outlineLevel="2" x14ac:dyDescent="0.3">
      <c r="A175" s="1158"/>
      <c r="B175" s="1166"/>
      <c r="C175" s="1167"/>
      <c r="D175" s="1168"/>
      <c r="E175" s="1169"/>
      <c r="F175" s="1170"/>
      <c r="G175" s="1170"/>
      <c r="H175" s="1170"/>
      <c r="I175" s="1170"/>
      <c r="J175" s="1170"/>
      <c r="K175" s="1170"/>
      <c r="L175" s="1170"/>
      <c r="M175" s="1170"/>
      <c r="N175" s="1170"/>
      <c r="O175" s="1170"/>
      <c r="P175" s="1170"/>
      <c r="Q175" s="1170"/>
      <c r="R175" s="1170"/>
      <c r="S175" s="1170"/>
      <c r="T175" s="1170"/>
      <c r="U175" s="1170"/>
      <c r="V175" s="1170"/>
      <c r="W175" s="1170"/>
      <c r="X175" s="1170"/>
      <c r="Y175" s="1170"/>
      <c r="Z175" s="1170"/>
      <c r="AA175" s="1170"/>
      <c r="AB175" s="1170"/>
      <c r="AC175" s="1170"/>
      <c r="AD175" s="1170"/>
      <c r="AE175" s="1170"/>
      <c r="AF175" s="1170"/>
      <c r="AG175" s="1170"/>
      <c r="AH175" s="1170"/>
      <c r="AI175" s="1170"/>
      <c r="AJ175" s="1171"/>
      <c r="AK175" s="1171"/>
      <c r="AL175" s="1172"/>
    </row>
    <row r="176" spans="1:38" hidden="1" outlineLevel="2" x14ac:dyDescent="0.3">
      <c r="A176" s="1158"/>
      <c r="B176" s="1166"/>
      <c r="C176" s="1167"/>
      <c r="D176" s="1168"/>
      <c r="E176" s="1169"/>
      <c r="F176" s="1170"/>
      <c r="G176" s="1170"/>
      <c r="H176" s="1170"/>
      <c r="I176" s="1170"/>
      <c r="J176" s="1170"/>
      <c r="K176" s="1170"/>
      <c r="L176" s="1170"/>
      <c r="M176" s="1170"/>
      <c r="N176" s="1170"/>
      <c r="O176" s="1170"/>
      <c r="P176" s="1170"/>
      <c r="Q176" s="1170"/>
      <c r="R176" s="1170"/>
      <c r="S176" s="1170"/>
      <c r="T176" s="1170"/>
      <c r="U176" s="1170"/>
      <c r="V176" s="1170"/>
      <c r="W176" s="1170"/>
      <c r="X176" s="1170"/>
      <c r="Y176" s="1170"/>
      <c r="Z176" s="1170"/>
      <c r="AA176" s="1170"/>
      <c r="AB176" s="1170"/>
      <c r="AC176" s="1170"/>
      <c r="AD176" s="1170"/>
      <c r="AE176" s="1170"/>
      <c r="AF176" s="1170"/>
      <c r="AG176" s="1170"/>
      <c r="AH176" s="1170"/>
      <c r="AI176" s="1170"/>
      <c r="AJ176" s="1171"/>
      <c r="AK176" s="1171"/>
      <c r="AL176" s="1172"/>
    </row>
    <row r="177" spans="1:38" hidden="1" outlineLevel="2" x14ac:dyDescent="0.3">
      <c r="A177" s="1158"/>
      <c r="B177" s="1166"/>
      <c r="C177" s="1167"/>
      <c r="D177" s="1168"/>
      <c r="E177" s="1169"/>
      <c r="F177" s="1170"/>
      <c r="G177" s="1170"/>
      <c r="H177" s="1170"/>
      <c r="I177" s="1170"/>
      <c r="J177" s="1170"/>
      <c r="K177" s="1170"/>
      <c r="L177" s="1170"/>
      <c r="M177" s="1170"/>
      <c r="N177" s="1170"/>
      <c r="O177" s="1170"/>
      <c r="P177" s="1170"/>
      <c r="Q177" s="1170"/>
      <c r="R177" s="1170"/>
      <c r="S177" s="1170"/>
      <c r="T177" s="1170"/>
      <c r="U177" s="1170"/>
      <c r="V177" s="1170"/>
      <c r="W177" s="1170"/>
      <c r="X177" s="1170"/>
      <c r="Y177" s="1170"/>
      <c r="Z177" s="1170"/>
      <c r="AA177" s="1170"/>
      <c r="AB177" s="1170"/>
      <c r="AC177" s="1170"/>
      <c r="AD177" s="1170"/>
      <c r="AE177" s="1170"/>
      <c r="AF177" s="1170"/>
      <c r="AG177" s="1170"/>
      <c r="AH177" s="1170"/>
      <c r="AI177" s="1170"/>
      <c r="AJ177" s="1171"/>
      <c r="AK177" s="1171"/>
      <c r="AL177" s="1172"/>
    </row>
    <row r="178" spans="1:38" hidden="1" outlineLevel="2" x14ac:dyDescent="0.3">
      <c r="A178" s="1158"/>
      <c r="B178" s="1166"/>
      <c r="C178" s="1167"/>
      <c r="D178" s="1168"/>
      <c r="E178" s="1169"/>
      <c r="F178" s="1170"/>
      <c r="G178" s="1170"/>
      <c r="H178" s="1170"/>
      <c r="I178" s="1170"/>
      <c r="J178" s="1170"/>
      <c r="K178" s="1170"/>
      <c r="L178" s="1170"/>
      <c r="M178" s="1170"/>
      <c r="N178" s="1170"/>
      <c r="O178" s="1170"/>
      <c r="P178" s="1170"/>
      <c r="Q178" s="1170"/>
      <c r="R178" s="1170"/>
      <c r="S178" s="1170"/>
      <c r="T178" s="1170"/>
      <c r="U178" s="1170"/>
      <c r="V178" s="1170"/>
      <c r="W178" s="1170"/>
      <c r="X178" s="1170"/>
      <c r="Y178" s="1170"/>
      <c r="Z178" s="1170"/>
      <c r="AA178" s="1170"/>
      <c r="AB178" s="1170"/>
      <c r="AC178" s="1170"/>
      <c r="AD178" s="1170"/>
      <c r="AE178" s="1170"/>
      <c r="AF178" s="1170"/>
      <c r="AG178" s="1170"/>
      <c r="AH178" s="1170"/>
      <c r="AI178" s="1170"/>
      <c r="AJ178" s="1171"/>
      <c r="AK178" s="1171"/>
      <c r="AL178" s="1172"/>
    </row>
    <row r="179" spans="1:38" hidden="1" outlineLevel="2" x14ac:dyDescent="0.3">
      <c r="A179" s="1158"/>
      <c r="B179" s="1166"/>
      <c r="C179" s="1167"/>
      <c r="D179" s="1168"/>
      <c r="E179" s="1169"/>
      <c r="F179" s="1170"/>
      <c r="G179" s="1170"/>
      <c r="H179" s="1170"/>
      <c r="I179" s="1170"/>
      <c r="J179" s="1170"/>
      <c r="K179" s="1170"/>
      <c r="L179" s="1170"/>
      <c r="M179" s="1170"/>
      <c r="N179" s="1170"/>
      <c r="O179" s="1170"/>
      <c r="P179" s="1170"/>
      <c r="Q179" s="1170"/>
      <c r="R179" s="1170"/>
      <c r="S179" s="1170"/>
      <c r="T179" s="1170"/>
      <c r="U179" s="1170"/>
      <c r="V179" s="1170"/>
      <c r="W179" s="1170"/>
      <c r="X179" s="1170"/>
      <c r="Y179" s="1170"/>
      <c r="Z179" s="1170"/>
      <c r="AA179" s="1170"/>
      <c r="AB179" s="1170"/>
      <c r="AC179" s="1170"/>
      <c r="AD179" s="1170"/>
      <c r="AE179" s="1170"/>
      <c r="AF179" s="1170"/>
      <c r="AG179" s="1170"/>
      <c r="AH179" s="1170"/>
      <c r="AI179" s="1170"/>
      <c r="AJ179" s="1171"/>
      <c r="AK179" s="1171"/>
      <c r="AL179" s="1172"/>
    </row>
    <row r="180" spans="1:38" ht="15" outlineLevel="1" collapsed="1" thickBot="1" x14ac:dyDescent="0.35">
      <c r="A180" s="1158"/>
      <c r="B180" s="1173" t="s">
        <v>550</v>
      </c>
      <c r="C180" s="1174"/>
      <c r="D180" s="1175"/>
      <c r="E180" s="1176">
        <f>SUBTOTAL(9,E171:E173)</f>
        <v>0</v>
      </c>
      <c r="F180" s="1177"/>
      <c r="G180" s="1177">
        <f>SUBTOTAL(9,G171:G173)</f>
        <v>0</v>
      </c>
      <c r="H180" s="1177"/>
      <c r="I180" s="1177">
        <f>SUBTOTAL(9,I171:I173)</f>
        <v>0</v>
      </c>
      <c r="J180" s="1177"/>
      <c r="K180" s="1177">
        <f>SUBTOTAL(9,K171:K173)</f>
        <v>0</v>
      </c>
      <c r="L180" s="1177"/>
      <c r="M180" s="1177">
        <f>SUBTOTAL(9,M171:M173)</f>
        <v>0</v>
      </c>
      <c r="N180" s="1177"/>
      <c r="O180" s="1177">
        <f>SUBTOTAL(9,O171:O173)</f>
        <v>0</v>
      </c>
      <c r="P180" s="1177"/>
      <c r="Q180" s="1177">
        <f>SUBTOTAL(9,Q171:Q173)</f>
        <v>0</v>
      </c>
      <c r="R180" s="1177"/>
      <c r="S180" s="1177">
        <f>SUBTOTAL(9,S171:S173)</f>
        <v>0</v>
      </c>
      <c r="T180" s="1177"/>
      <c r="U180" s="1177">
        <f>SUBTOTAL(9,U171:U173)</f>
        <v>0</v>
      </c>
      <c r="V180" s="1177"/>
      <c r="W180" s="1177">
        <f>SUBTOTAL(9,W171:W173)</f>
        <v>0</v>
      </c>
      <c r="X180" s="1177"/>
      <c r="Y180" s="1177">
        <f>SUBTOTAL(9,Y171:Y173)</f>
        <v>0</v>
      </c>
      <c r="Z180" s="1177"/>
      <c r="AA180" s="1177">
        <f>SUBTOTAL(9,AA171:AA173)</f>
        <v>0</v>
      </c>
      <c r="AB180" s="1177"/>
      <c r="AC180" s="1177">
        <f>SUBTOTAL(9,AC171:AC173)</f>
        <v>0</v>
      </c>
      <c r="AD180" s="1177"/>
      <c r="AE180" s="1177">
        <f>SUBTOTAL(9,AE171:AE173)</f>
        <v>0</v>
      </c>
      <c r="AF180" s="1177"/>
      <c r="AG180" s="1177">
        <f>SUBTOTAL(9,AG171:AG173)</f>
        <v>0</v>
      </c>
      <c r="AH180" s="1177"/>
      <c r="AI180" s="1177">
        <f>SUBTOTAL(9,AI171:AI173)</f>
        <v>0</v>
      </c>
      <c r="AJ180" s="1178"/>
      <c r="AK180" s="1178"/>
      <c r="AL180" s="1179"/>
    </row>
    <row r="181" spans="1:38" ht="18" outlineLevel="1" x14ac:dyDescent="0.35">
      <c r="A181" s="1180" t="s">
        <v>1464</v>
      </c>
      <c r="B181" s="1181"/>
      <c r="C181" s="1182"/>
      <c r="D181" s="1183"/>
      <c r="E181" s="1184"/>
      <c r="F181" s="1185"/>
      <c r="G181" s="1185"/>
      <c r="H181" s="1185"/>
      <c r="I181" s="1185"/>
      <c r="J181" s="1185"/>
      <c r="K181" s="1185"/>
      <c r="L181" s="1185"/>
      <c r="M181" s="1185"/>
      <c r="N181" s="1185"/>
      <c r="O181" s="1185"/>
      <c r="P181" s="1185"/>
      <c r="Q181" s="1185"/>
      <c r="R181" s="1185"/>
      <c r="S181" s="1185"/>
      <c r="T181" s="1185"/>
      <c r="U181" s="1185"/>
      <c r="V181" s="1185"/>
      <c r="W181" s="1185"/>
      <c r="X181" s="1185"/>
      <c r="Y181" s="1185"/>
      <c r="Z181" s="1185"/>
      <c r="AA181" s="1185"/>
      <c r="AB181" s="1185"/>
      <c r="AC181" s="1185"/>
      <c r="AD181" s="1185"/>
      <c r="AE181" s="1185"/>
      <c r="AF181" s="1185"/>
      <c r="AG181" s="1185"/>
      <c r="AH181" s="1185"/>
      <c r="AI181" s="1185"/>
      <c r="AJ181" s="1186"/>
      <c r="AK181" s="1186"/>
      <c r="AL181" s="1187"/>
    </row>
    <row r="182" spans="1:38" hidden="1" outlineLevel="2" x14ac:dyDescent="0.3">
      <c r="A182" s="1188"/>
      <c r="B182" s="1189"/>
      <c r="C182" s="1190"/>
      <c r="D182" s="1191"/>
      <c r="E182" s="1192"/>
      <c r="F182" s="1193"/>
      <c r="G182" s="1193"/>
      <c r="H182" s="1193"/>
      <c r="I182" s="1193"/>
      <c r="J182" s="1193"/>
      <c r="K182" s="1193"/>
      <c r="L182" s="1193"/>
      <c r="M182" s="1193"/>
      <c r="N182" s="1193"/>
      <c r="O182" s="1193"/>
      <c r="P182" s="1193"/>
      <c r="Q182" s="1193"/>
      <c r="R182" s="1193"/>
      <c r="S182" s="1193"/>
      <c r="T182" s="1193"/>
      <c r="U182" s="1193"/>
      <c r="V182" s="1193"/>
      <c r="W182" s="1193"/>
      <c r="X182" s="1193"/>
      <c r="Y182" s="1193"/>
      <c r="Z182" s="1193"/>
      <c r="AA182" s="1193"/>
      <c r="AB182" s="1193"/>
      <c r="AC182" s="1193"/>
      <c r="AD182" s="1193"/>
      <c r="AE182" s="1193"/>
      <c r="AF182" s="1193"/>
      <c r="AG182" s="1193"/>
      <c r="AH182" s="1193"/>
      <c r="AI182" s="1193"/>
      <c r="AJ182" s="1194"/>
      <c r="AK182" s="1194"/>
      <c r="AL182" s="1195"/>
    </row>
    <row r="183" spans="1:38" hidden="1" outlineLevel="2" x14ac:dyDescent="0.3">
      <c r="A183" s="1188"/>
      <c r="B183" s="1189"/>
      <c r="C183" s="1190"/>
      <c r="D183" s="1191"/>
      <c r="E183" s="1192"/>
      <c r="F183" s="1193"/>
      <c r="G183" s="1193"/>
      <c r="H183" s="1193"/>
      <c r="I183" s="1193"/>
      <c r="J183" s="1193"/>
      <c r="K183" s="1193"/>
      <c r="L183" s="1193"/>
      <c r="M183" s="1193"/>
      <c r="N183" s="1193"/>
      <c r="O183" s="1193"/>
      <c r="P183" s="1193"/>
      <c r="Q183" s="1193"/>
      <c r="R183" s="1193"/>
      <c r="S183" s="1193"/>
      <c r="T183" s="1193"/>
      <c r="U183" s="1193"/>
      <c r="V183" s="1193"/>
      <c r="W183" s="1193"/>
      <c r="X183" s="1193"/>
      <c r="Y183" s="1193"/>
      <c r="Z183" s="1193"/>
      <c r="AA183" s="1193"/>
      <c r="AB183" s="1193"/>
      <c r="AC183" s="1193"/>
      <c r="AD183" s="1193"/>
      <c r="AE183" s="1193"/>
      <c r="AF183" s="1193"/>
      <c r="AG183" s="1193"/>
      <c r="AH183" s="1193"/>
      <c r="AI183" s="1193"/>
      <c r="AJ183" s="1194"/>
      <c r="AK183" s="1194"/>
      <c r="AL183" s="1195"/>
    </row>
    <row r="184" spans="1:38" hidden="1" outlineLevel="2" x14ac:dyDescent="0.3">
      <c r="A184" s="1188"/>
      <c r="B184" s="1196"/>
      <c r="C184" s="1197"/>
      <c r="D184" s="1198"/>
      <c r="E184" s="1199"/>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c r="AA184" s="1200"/>
      <c r="AB184" s="1200"/>
      <c r="AC184" s="1200"/>
      <c r="AD184" s="1200"/>
      <c r="AE184" s="1200"/>
      <c r="AF184" s="1200"/>
      <c r="AG184" s="1200"/>
      <c r="AH184" s="1200"/>
      <c r="AI184" s="1200"/>
      <c r="AJ184" s="1201"/>
      <c r="AK184" s="1201"/>
      <c r="AL184" s="1202"/>
    </row>
    <row r="185" spans="1:38" hidden="1" outlineLevel="2" x14ac:dyDescent="0.3">
      <c r="A185" s="1188"/>
      <c r="B185" s="1196"/>
      <c r="C185" s="1197"/>
      <c r="D185" s="1198"/>
      <c r="E185" s="1199"/>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c r="AA185" s="1200"/>
      <c r="AB185" s="1200"/>
      <c r="AC185" s="1200"/>
      <c r="AD185" s="1200"/>
      <c r="AE185" s="1200"/>
      <c r="AF185" s="1200"/>
      <c r="AG185" s="1200"/>
      <c r="AH185" s="1200"/>
      <c r="AI185" s="1200"/>
      <c r="AJ185" s="1201"/>
      <c r="AK185" s="1201"/>
      <c r="AL185" s="1202"/>
    </row>
    <row r="186" spans="1:38" hidden="1" outlineLevel="2" x14ac:dyDescent="0.3">
      <c r="A186" s="1188"/>
      <c r="B186" s="1196"/>
      <c r="C186" s="1197"/>
      <c r="D186" s="1198"/>
      <c r="E186" s="1199"/>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c r="AA186" s="1200"/>
      <c r="AB186" s="1200"/>
      <c r="AC186" s="1200"/>
      <c r="AD186" s="1200"/>
      <c r="AE186" s="1200"/>
      <c r="AF186" s="1200"/>
      <c r="AG186" s="1200"/>
      <c r="AH186" s="1200"/>
      <c r="AI186" s="1200"/>
      <c r="AJ186" s="1201"/>
      <c r="AK186" s="1201"/>
      <c r="AL186" s="1202"/>
    </row>
    <row r="187" spans="1:38" hidden="1" outlineLevel="2" x14ac:dyDescent="0.3">
      <c r="A187" s="1188"/>
      <c r="B187" s="1196"/>
      <c r="C187" s="1197"/>
      <c r="D187" s="1198"/>
      <c r="E187" s="1199"/>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c r="AA187" s="1200"/>
      <c r="AB187" s="1200"/>
      <c r="AC187" s="1200"/>
      <c r="AD187" s="1200"/>
      <c r="AE187" s="1200"/>
      <c r="AF187" s="1200"/>
      <c r="AG187" s="1200"/>
      <c r="AH187" s="1200"/>
      <c r="AI187" s="1200"/>
      <c r="AJ187" s="1201"/>
      <c r="AK187" s="1201"/>
      <c r="AL187" s="1202"/>
    </row>
    <row r="188" spans="1:38" hidden="1" outlineLevel="2" x14ac:dyDescent="0.3">
      <c r="A188" s="1188"/>
      <c r="B188" s="1196"/>
      <c r="C188" s="1197"/>
      <c r="D188" s="1198"/>
      <c r="E188" s="1199"/>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c r="AA188" s="1200"/>
      <c r="AB188" s="1200"/>
      <c r="AC188" s="1200"/>
      <c r="AD188" s="1200"/>
      <c r="AE188" s="1200"/>
      <c r="AF188" s="1200"/>
      <c r="AG188" s="1200"/>
      <c r="AH188" s="1200"/>
      <c r="AI188" s="1200"/>
      <c r="AJ188" s="1201"/>
      <c r="AK188" s="1201"/>
      <c r="AL188" s="1202"/>
    </row>
    <row r="189" spans="1:38" ht="15" outlineLevel="1" collapsed="1" thickBot="1" x14ac:dyDescent="0.35">
      <c r="A189" s="1188"/>
      <c r="B189" s="1203" t="s">
        <v>550</v>
      </c>
      <c r="C189" s="1204"/>
      <c r="D189" s="1205"/>
      <c r="E189" s="1206">
        <f>SUBTOTAL(9,E181:E183)</f>
        <v>0</v>
      </c>
      <c r="F189" s="1207"/>
      <c r="G189" s="1207">
        <f>SUBTOTAL(9,G181:G183)</f>
        <v>0</v>
      </c>
      <c r="H189" s="1207"/>
      <c r="I189" s="1207">
        <f>SUBTOTAL(9,I181:I183)</f>
        <v>0</v>
      </c>
      <c r="J189" s="1207"/>
      <c r="K189" s="1207">
        <f>SUBTOTAL(9,K181:K183)</f>
        <v>0</v>
      </c>
      <c r="L189" s="1207"/>
      <c r="M189" s="1207">
        <f>SUBTOTAL(9,M181:M183)</f>
        <v>0</v>
      </c>
      <c r="N189" s="1207"/>
      <c r="O189" s="1207">
        <f>SUBTOTAL(9,O181:O183)</f>
        <v>0</v>
      </c>
      <c r="P189" s="1207"/>
      <c r="Q189" s="1207">
        <f>SUBTOTAL(9,Q181:Q183)</f>
        <v>0</v>
      </c>
      <c r="R189" s="1207"/>
      <c r="S189" s="1207">
        <f>SUBTOTAL(9,S181:S183)</f>
        <v>0</v>
      </c>
      <c r="T189" s="1207"/>
      <c r="U189" s="1207">
        <f>SUBTOTAL(9,U181:U183)</f>
        <v>0</v>
      </c>
      <c r="V189" s="1207"/>
      <c r="W189" s="1207">
        <f>SUBTOTAL(9,W181:W183)</f>
        <v>0</v>
      </c>
      <c r="X189" s="1207"/>
      <c r="Y189" s="1207">
        <f>SUBTOTAL(9,Y181:Y183)</f>
        <v>0</v>
      </c>
      <c r="Z189" s="1207"/>
      <c r="AA189" s="1207">
        <f>SUBTOTAL(9,AA181:AA183)</f>
        <v>0</v>
      </c>
      <c r="AB189" s="1207"/>
      <c r="AC189" s="1207">
        <f>SUBTOTAL(9,AC181:AC183)</f>
        <v>0</v>
      </c>
      <c r="AD189" s="1207"/>
      <c r="AE189" s="1207">
        <f>SUBTOTAL(9,AE181:AE183)</f>
        <v>0</v>
      </c>
      <c r="AF189" s="1207"/>
      <c r="AG189" s="1207">
        <f>SUBTOTAL(9,AG181:AG183)</f>
        <v>0</v>
      </c>
      <c r="AH189" s="1207"/>
      <c r="AI189" s="1207">
        <f>SUBTOTAL(9,AI181:AI183)</f>
        <v>0</v>
      </c>
      <c r="AJ189" s="1208"/>
      <c r="AK189" s="1208"/>
      <c r="AL189" s="1209"/>
    </row>
    <row r="190" spans="1:38" x14ac:dyDescent="0.3">
      <c r="A190" s="98"/>
      <c r="B190" s="660"/>
      <c r="C190" s="660"/>
      <c r="D190" s="660"/>
      <c r="E190" s="941">
        <f>SUM(E189,E180,E169)</f>
        <v>0</v>
      </c>
      <c r="F190" s="941"/>
      <c r="G190" s="941">
        <f>SUM(G189,G180,G169)</f>
        <v>0</v>
      </c>
      <c r="H190" s="941"/>
      <c r="I190" s="941">
        <f>SUM(I189,I180,I169)</f>
        <v>0</v>
      </c>
      <c r="J190" s="941"/>
      <c r="K190" s="941">
        <v>9600</v>
      </c>
      <c r="L190" s="941"/>
      <c r="M190" s="941">
        <f>SUM(M189,M180,M169)</f>
        <v>0</v>
      </c>
      <c r="N190" s="941"/>
      <c r="O190" s="941">
        <f>SUM(O189,O180,O169)</f>
        <v>0</v>
      </c>
      <c r="P190" s="941"/>
      <c r="Q190" s="941">
        <f>SUM(Q189,Q180,Q169)</f>
        <v>0</v>
      </c>
      <c r="R190" s="941"/>
      <c r="S190" s="941">
        <f>SUM(S189,S180,S169)</f>
        <v>0</v>
      </c>
      <c r="T190" s="941"/>
      <c r="U190" s="941">
        <f>SUM(U189,U180,U169)</f>
        <v>0</v>
      </c>
      <c r="V190" s="941"/>
      <c r="W190" s="941">
        <f>SUM(W189,W180,W169)</f>
        <v>0</v>
      </c>
      <c r="X190" s="941"/>
      <c r="Y190" s="941">
        <f>SUM(Y189,Y180,Y169)</f>
        <v>0</v>
      </c>
      <c r="Z190" s="941"/>
      <c r="AA190" s="941">
        <f>SUM(AA189,AA180,AA169)</f>
        <v>0</v>
      </c>
      <c r="AB190" s="941"/>
      <c r="AC190" s="941">
        <f>SUM(AC189,AC180,AC169)</f>
        <v>0</v>
      </c>
      <c r="AD190" s="941"/>
      <c r="AE190" s="941">
        <f>SUM(AE189,AE180,AE169)</f>
        <v>0</v>
      </c>
      <c r="AF190" s="941"/>
      <c r="AG190" s="941">
        <f>SUM(AG189,AG180,AG169)</f>
        <v>0</v>
      </c>
      <c r="AH190" s="941"/>
      <c r="AI190" s="941">
        <f>SUM(AI189,AI180,AI169)</f>
        <v>0</v>
      </c>
      <c r="AJ190" s="941"/>
      <c r="AK190" s="941"/>
      <c r="AL190" s="941">
        <f>SUM(K190:AI190)-SUM(E190:I190)</f>
        <v>9600</v>
      </c>
    </row>
    <row r="191" spans="1:38" ht="15.6" x14ac:dyDescent="0.3">
      <c r="B191" s="76"/>
      <c r="C191" s="76"/>
      <c r="D191" s="79"/>
      <c r="E191" s="1112"/>
      <c r="F191" s="1112"/>
      <c r="G191" s="660"/>
      <c r="H191" s="1112"/>
      <c r="I191" s="660"/>
      <c r="J191" s="1112"/>
      <c r="K191" s="660"/>
      <c r="L191" s="1112"/>
      <c r="M191" s="660"/>
      <c r="N191" s="1112"/>
      <c r="O191" s="660"/>
      <c r="P191" s="1112"/>
      <c r="Q191" s="660"/>
      <c r="R191" s="1112"/>
      <c r="S191" s="660"/>
      <c r="T191" s="1112"/>
      <c r="U191" s="660"/>
      <c r="V191" s="1112"/>
      <c r="W191" s="660"/>
      <c r="X191" s="1112"/>
      <c r="Y191" s="660"/>
      <c r="Z191" s="1112"/>
      <c r="AA191" s="660"/>
      <c r="AB191" s="1112"/>
      <c r="AC191" s="660"/>
      <c r="AD191" s="1112"/>
      <c r="AE191" s="660"/>
      <c r="AF191" s="1112"/>
      <c r="AG191" s="660"/>
      <c r="AH191" s="1112"/>
      <c r="AI191" s="660"/>
      <c r="AJ191" s="660"/>
      <c r="AK191" s="1108"/>
      <c r="AL191" s="1106"/>
    </row>
    <row r="192" spans="1:38" ht="18" x14ac:dyDescent="0.3">
      <c r="A192" s="1110" t="s">
        <v>1468</v>
      </c>
      <c r="B192" s="1111"/>
      <c r="C192" s="1111"/>
      <c r="D192" s="1111"/>
      <c r="E192" s="1112"/>
      <c r="F192" s="1112"/>
      <c r="G192" s="660"/>
      <c r="H192" s="660"/>
      <c r="I192" s="660"/>
      <c r="J192" s="660"/>
      <c r="K192" s="660"/>
      <c r="L192" s="660"/>
      <c r="M192" s="660"/>
      <c r="N192" s="660"/>
      <c r="O192" s="660"/>
      <c r="P192" s="660"/>
      <c r="Q192" s="660"/>
      <c r="R192" s="660"/>
      <c r="S192" s="660"/>
      <c r="T192" s="660"/>
      <c r="U192" s="660"/>
      <c r="V192" s="660"/>
      <c r="W192" s="660"/>
      <c r="X192" s="660"/>
      <c r="Y192" s="660"/>
      <c r="Z192" s="660"/>
      <c r="AA192" s="660"/>
      <c r="AB192" s="660"/>
      <c r="AC192" s="660"/>
      <c r="AD192" s="660"/>
      <c r="AE192" s="660"/>
      <c r="AF192" s="660"/>
      <c r="AG192" s="660"/>
      <c r="AH192" s="660"/>
      <c r="AI192" s="660"/>
      <c r="AJ192" s="660"/>
      <c r="AK192" s="660"/>
    </row>
    <row r="193" spans="1:38" ht="15" thickBot="1" x14ac:dyDescent="0.35">
      <c r="A193" s="39"/>
      <c r="B193" s="1113"/>
      <c r="C193" s="1113"/>
      <c r="D193" s="1114" t="s">
        <v>1407</v>
      </c>
      <c r="E193" s="1115" t="s">
        <v>69</v>
      </c>
      <c r="F193" s="1116" t="s">
        <v>8</v>
      </c>
      <c r="G193" s="1115" t="s">
        <v>83</v>
      </c>
      <c r="H193" s="1116" t="s">
        <v>8</v>
      </c>
      <c r="I193" s="1115" t="s">
        <v>90</v>
      </c>
      <c r="J193" s="1116" t="s">
        <v>8</v>
      </c>
      <c r="K193" s="1117" t="s">
        <v>134</v>
      </c>
      <c r="L193" s="1118" t="s">
        <v>8</v>
      </c>
      <c r="M193" s="1117" t="s">
        <v>136</v>
      </c>
      <c r="N193" s="1118" t="s">
        <v>8</v>
      </c>
      <c r="O193" s="1117" t="s">
        <v>728</v>
      </c>
      <c r="P193" s="1118" t="s">
        <v>8</v>
      </c>
      <c r="Q193" s="1117" t="s">
        <v>266</v>
      </c>
      <c r="R193" s="1118" t="s">
        <v>8</v>
      </c>
      <c r="S193" s="1117" t="s">
        <v>292</v>
      </c>
      <c r="T193" s="1118" t="s">
        <v>8</v>
      </c>
      <c r="U193" s="1117" t="s">
        <v>335</v>
      </c>
      <c r="V193" s="1118" t="s">
        <v>8</v>
      </c>
      <c r="W193" s="1117" t="s">
        <v>346</v>
      </c>
      <c r="X193" s="1118" t="s">
        <v>8</v>
      </c>
      <c r="Y193" s="1117" t="s">
        <v>357</v>
      </c>
      <c r="Z193" s="1118" t="s">
        <v>8</v>
      </c>
      <c r="AA193" s="1117" t="s">
        <v>364</v>
      </c>
      <c r="AB193" s="1118" t="s">
        <v>8</v>
      </c>
      <c r="AC193" s="1117" t="s">
        <v>376</v>
      </c>
      <c r="AD193" s="1118" t="s">
        <v>8</v>
      </c>
      <c r="AE193" s="1117" t="s">
        <v>386</v>
      </c>
      <c r="AF193" s="1118" t="s">
        <v>8</v>
      </c>
      <c r="AG193" s="1117" t="s">
        <v>398</v>
      </c>
      <c r="AH193" s="1118" t="s">
        <v>8</v>
      </c>
      <c r="AI193" s="1117" t="s">
        <v>424</v>
      </c>
      <c r="AJ193" s="1119" t="s">
        <v>8</v>
      </c>
      <c r="AK193" s="1120" t="s">
        <v>1404</v>
      </c>
      <c r="AL193" s="1121" t="s">
        <v>1405</v>
      </c>
    </row>
    <row r="194" spans="1:38" s="39" customFormat="1" ht="21" customHeight="1" outlineLevel="1" x14ac:dyDescent="0.35">
      <c r="A194" s="1122" t="s">
        <v>1223</v>
      </c>
      <c r="B194" s="1123" t="s">
        <v>625</v>
      </c>
      <c r="C194" s="1124" t="s">
        <v>1408</v>
      </c>
      <c r="D194" s="1125" t="s">
        <v>1409</v>
      </c>
      <c r="E194" s="1126"/>
      <c r="F194" s="1127"/>
      <c r="G194" s="1127"/>
      <c r="H194" s="1127"/>
      <c r="I194" s="1127"/>
      <c r="J194" s="1127"/>
      <c r="K194" s="1127"/>
      <c r="L194" s="1127"/>
      <c r="M194" s="1127"/>
      <c r="N194" s="1127"/>
      <c r="O194" s="1127"/>
      <c r="P194" s="1127"/>
      <c r="Q194" s="1127"/>
      <c r="R194" s="1127"/>
      <c r="S194" s="1127"/>
      <c r="T194" s="1127"/>
      <c r="U194" s="1127"/>
      <c r="V194" s="1127"/>
      <c r="W194" s="1127"/>
      <c r="X194" s="1127"/>
      <c r="Y194" s="1127"/>
      <c r="Z194" s="1127"/>
      <c r="AA194" s="1127"/>
      <c r="AB194" s="1127"/>
      <c r="AC194" s="1127"/>
      <c r="AD194" s="1127"/>
      <c r="AE194" s="1127"/>
      <c r="AF194" s="1127"/>
      <c r="AG194" s="1127"/>
      <c r="AH194" s="1127"/>
      <c r="AI194" s="1127"/>
      <c r="AJ194" s="1128"/>
      <c r="AK194" s="1128"/>
      <c r="AL194" s="1129"/>
    </row>
    <row r="195" spans="1:38" hidden="1" outlineLevel="2" x14ac:dyDescent="0.3">
      <c r="A195" s="1130"/>
      <c r="B195" s="1131"/>
      <c r="C195" s="1132"/>
      <c r="D195" s="1133"/>
      <c r="E195" s="1134"/>
      <c r="F195" s="1135"/>
      <c r="G195" s="1135"/>
      <c r="H195" s="1135"/>
      <c r="I195" s="1135"/>
      <c r="J195" s="1135"/>
      <c r="K195" s="1135"/>
      <c r="L195" s="1135"/>
      <c r="M195" s="1135"/>
      <c r="N195" s="1135"/>
      <c r="O195" s="1135"/>
      <c r="P195" s="1135"/>
      <c r="Q195" s="1135"/>
      <c r="R195" s="1135"/>
      <c r="S195" s="1135"/>
      <c r="T195" s="1135"/>
      <c r="U195" s="1135"/>
      <c r="V195" s="1135"/>
      <c r="W195" s="1135"/>
      <c r="X195" s="1135"/>
      <c r="Y195" s="1135"/>
      <c r="Z195" s="1135"/>
      <c r="AA195" s="1135"/>
      <c r="AB195" s="1135"/>
      <c r="AC195" s="1135"/>
      <c r="AD195" s="1135"/>
      <c r="AE195" s="1135"/>
      <c r="AF195" s="1135"/>
      <c r="AG195" s="1135"/>
      <c r="AH195" s="1135"/>
      <c r="AI195" s="1135"/>
      <c r="AJ195" s="1136"/>
      <c r="AK195" s="1136"/>
      <c r="AL195" s="1137"/>
    </row>
    <row r="196" spans="1:38" ht="42" hidden="1" customHeight="1" outlineLevel="2" x14ac:dyDescent="0.3">
      <c r="A196" s="1130"/>
      <c r="B196" s="1131"/>
      <c r="C196" s="1132"/>
      <c r="D196" s="1133"/>
      <c r="E196" s="1134"/>
      <c r="F196" s="1135"/>
      <c r="G196" s="1135"/>
      <c r="H196" s="1135"/>
      <c r="I196" s="1135"/>
      <c r="J196" s="1135"/>
      <c r="K196" s="1135"/>
      <c r="L196" s="1135"/>
      <c r="M196" s="1135"/>
      <c r="N196" s="1135"/>
      <c r="O196" s="1135"/>
      <c r="P196" s="1135"/>
      <c r="Q196" s="1135"/>
      <c r="R196" s="1135"/>
      <c r="S196" s="1135"/>
      <c r="T196" s="1135"/>
      <c r="U196" s="1135"/>
      <c r="V196" s="1135"/>
      <c r="W196" s="1135"/>
      <c r="X196" s="1135"/>
      <c r="Y196" s="1135"/>
      <c r="Z196" s="1135"/>
      <c r="AA196" s="1135"/>
      <c r="AB196" s="1135"/>
      <c r="AC196" s="1135"/>
      <c r="AD196" s="1135"/>
      <c r="AE196" s="1135"/>
      <c r="AF196" s="1135"/>
      <c r="AG196" s="1135"/>
      <c r="AH196" s="1135"/>
      <c r="AI196" s="1135"/>
      <c r="AJ196" s="1136"/>
      <c r="AK196" s="1137">
        <f t="shared" ref="AK196:AL227" si="12">SUM(E196,G196,I196)-SUM(K196,M196,O196,Q196,S196,U196,W196,Y196,AA196,AC196,AE196,AG196,AI196)</f>
        <v>0</v>
      </c>
      <c r="AL196" s="1137">
        <f t="shared" si="12"/>
        <v>0</v>
      </c>
    </row>
    <row r="197" spans="1:38" hidden="1" outlineLevel="2" x14ac:dyDescent="0.3">
      <c r="A197" s="1130"/>
      <c r="B197" s="1131"/>
      <c r="C197" s="1132"/>
      <c r="D197" s="1133"/>
      <c r="E197" s="1134"/>
      <c r="F197" s="1135"/>
      <c r="G197" s="1135"/>
      <c r="H197" s="1135"/>
      <c r="I197" s="1135"/>
      <c r="J197" s="1135"/>
      <c r="K197" s="1135"/>
      <c r="L197" s="1135"/>
      <c r="M197" s="1135"/>
      <c r="N197" s="1135"/>
      <c r="O197" s="1135"/>
      <c r="P197" s="1135"/>
      <c r="Q197" s="1135"/>
      <c r="R197" s="1135"/>
      <c r="S197" s="1135"/>
      <c r="T197" s="1135"/>
      <c r="U197" s="1135"/>
      <c r="V197" s="1135"/>
      <c r="W197" s="1135"/>
      <c r="X197" s="1135"/>
      <c r="Y197" s="1135"/>
      <c r="Z197" s="1135"/>
      <c r="AA197" s="1135"/>
      <c r="AB197" s="1135"/>
      <c r="AC197" s="1135"/>
      <c r="AD197" s="1135"/>
      <c r="AE197" s="1135"/>
      <c r="AF197" s="1135"/>
      <c r="AG197" s="1135"/>
      <c r="AH197" s="1135"/>
      <c r="AI197" s="1135"/>
      <c r="AJ197" s="1136"/>
      <c r="AK197" s="1137">
        <f t="shared" si="12"/>
        <v>0</v>
      </c>
      <c r="AL197" s="1137">
        <f t="shared" si="12"/>
        <v>0</v>
      </c>
    </row>
    <row r="198" spans="1:38" hidden="1" outlineLevel="2" x14ac:dyDescent="0.3">
      <c r="A198" s="1130"/>
      <c r="B198" s="1138"/>
      <c r="C198" s="1139"/>
      <c r="D198" s="1140"/>
      <c r="E198" s="1134"/>
      <c r="F198" s="1141"/>
      <c r="G198" s="1141"/>
      <c r="H198" s="1141"/>
      <c r="I198" s="1141"/>
      <c r="J198" s="1141"/>
      <c r="K198" s="1135"/>
      <c r="L198" s="1141"/>
      <c r="M198" s="1141"/>
      <c r="N198" s="1141"/>
      <c r="O198" s="1141"/>
      <c r="P198" s="1141"/>
      <c r="Q198" s="1141"/>
      <c r="R198" s="1141"/>
      <c r="S198" s="1141"/>
      <c r="T198" s="1141"/>
      <c r="U198" s="1135"/>
      <c r="V198" s="1141"/>
      <c r="W198" s="1141"/>
      <c r="X198" s="1141"/>
      <c r="Y198" s="1141"/>
      <c r="Z198" s="1141"/>
      <c r="AA198" s="1141"/>
      <c r="AB198" s="1141"/>
      <c r="AC198" s="1141"/>
      <c r="AD198" s="1141"/>
      <c r="AE198" s="1135"/>
      <c r="AF198" s="1141"/>
      <c r="AG198" s="1135"/>
      <c r="AH198" s="1141"/>
      <c r="AI198" s="1141"/>
      <c r="AJ198" s="1142"/>
      <c r="AK198" s="1137">
        <f t="shared" si="12"/>
        <v>0</v>
      </c>
      <c r="AL198" s="1137">
        <f t="shared" si="12"/>
        <v>0</v>
      </c>
    </row>
    <row r="199" spans="1:38" hidden="1" outlineLevel="2" x14ac:dyDescent="0.3">
      <c r="A199" s="1130"/>
      <c r="B199" s="1138"/>
      <c r="C199" s="1139"/>
      <c r="D199" s="1140"/>
      <c r="E199" s="1134"/>
      <c r="F199" s="1141"/>
      <c r="G199" s="1141"/>
      <c r="H199" s="1141"/>
      <c r="I199" s="1141"/>
      <c r="J199" s="1141"/>
      <c r="K199" s="1135"/>
      <c r="L199" s="1141"/>
      <c r="M199" s="1141"/>
      <c r="N199" s="1141"/>
      <c r="O199" s="1141"/>
      <c r="P199" s="1141"/>
      <c r="Q199" s="1141"/>
      <c r="R199" s="1141"/>
      <c r="S199" s="1141"/>
      <c r="T199" s="1141"/>
      <c r="U199" s="1135"/>
      <c r="V199" s="1141"/>
      <c r="W199" s="1141"/>
      <c r="X199" s="1141"/>
      <c r="Y199" s="1141"/>
      <c r="Z199" s="1141"/>
      <c r="AA199" s="1141"/>
      <c r="AB199" s="1141"/>
      <c r="AC199" s="1141"/>
      <c r="AD199" s="1141"/>
      <c r="AE199" s="1135"/>
      <c r="AF199" s="1141"/>
      <c r="AG199" s="1135"/>
      <c r="AH199" s="1141"/>
      <c r="AI199" s="1141"/>
      <c r="AJ199" s="1142"/>
      <c r="AK199" s="1137">
        <f t="shared" si="12"/>
        <v>0</v>
      </c>
      <c r="AL199" s="1137">
        <f t="shared" si="12"/>
        <v>0</v>
      </c>
    </row>
    <row r="200" spans="1:38" hidden="1" outlineLevel="2" x14ac:dyDescent="0.3">
      <c r="A200" s="1130"/>
      <c r="B200" s="1138"/>
      <c r="C200" s="1139"/>
      <c r="D200" s="1140"/>
      <c r="E200" s="1134"/>
      <c r="F200" s="1141"/>
      <c r="G200" s="1141"/>
      <c r="H200" s="1141"/>
      <c r="I200" s="1141"/>
      <c r="J200" s="1141"/>
      <c r="K200" s="1135"/>
      <c r="L200" s="1141"/>
      <c r="M200" s="1141"/>
      <c r="N200" s="1141"/>
      <c r="O200" s="1141"/>
      <c r="P200" s="1141"/>
      <c r="Q200" s="1141"/>
      <c r="R200" s="1141"/>
      <c r="S200" s="1141"/>
      <c r="T200" s="1141"/>
      <c r="U200" s="1135"/>
      <c r="V200" s="1141"/>
      <c r="W200" s="1141"/>
      <c r="X200" s="1141"/>
      <c r="Y200" s="1141"/>
      <c r="Z200" s="1141"/>
      <c r="AA200" s="1141"/>
      <c r="AB200" s="1141"/>
      <c r="AC200" s="1141"/>
      <c r="AD200" s="1141"/>
      <c r="AE200" s="1135"/>
      <c r="AF200" s="1141"/>
      <c r="AG200" s="1135"/>
      <c r="AH200" s="1141"/>
      <c r="AI200" s="1141"/>
      <c r="AJ200" s="1142"/>
      <c r="AK200" s="1137">
        <f t="shared" si="12"/>
        <v>0</v>
      </c>
      <c r="AL200" s="1137">
        <f t="shared" si="12"/>
        <v>0</v>
      </c>
    </row>
    <row r="201" spans="1:38" hidden="1" outlineLevel="2" x14ac:dyDescent="0.3">
      <c r="A201" s="1130"/>
      <c r="B201" s="1138"/>
      <c r="C201" s="1139"/>
      <c r="D201" s="1140"/>
      <c r="E201" s="1134"/>
      <c r="F201" s="1141"/>
      <c r="G201" s="1141"/>
      <c r="H201" s="1141"/>
      <c r="I201" s="1141"/>
      <c r="J201" s="1141"/>
      <c r="K201" s="1135"/>
      <c r="L201" s="1141"/>
      <c r="M201" s="1141"/>
      <c r="N201" s="1141"/>
      <c r="O201" s="1141"/>
      <c r="P201" s="1141"/>
      <c r="Q201" s="1141"/>
      <c r="R201" s="1141"/>
      <c r="S201" s="1141"/>
      <c r="T201" s="1141"/>
      <c r="U201" s="1135"/>
      <c r="V201" s="1141"/>
      <c r="W201" s="1141"/>
      <c r="X201" s="1141"/>
      <c r="Y201" s="1141"/>
      <c r="Z201" s="1141"/>
      <c r="AA201" s="1141"/>
      <c r="AB201" s="1141"/>
      <c r="AC201" s="1141"/>
      <c r="AD201" s="1141"/>
      <c r="AE201" s="1135"/>
      <c r="AF201" s="1141"/>
      <c r="AG201" s="1135"/>
      <c r="AH201" s="1141"/>
      <c r="AI201" s="1141"/>
      <c r="AJ201" s="1142"/>
      <c r="AK201" s="1137">
        <f t="shared" si="12"/>
        <v>0</v>
      </c>
      <c r="AL201" s="1137">
        <f t="shared" si="12"/>
        <v>0</v>
      </c>
    </row>
    <row r="202" spans="1:38" hidden="1" outlineLevel="2" x14ac:dyDescent="0.3">
      <c r="A202" s="1130"/>
      <c r="B202" s="1138"/>
      <c r="C202" s="1139"/>
      <c r="D202" s="1140"/>
      <c r="E202" s="1134"/>
      <c r="F202" s="1141"/>
      <c r="G202" s="1141"/>
      <c r="H202" s="1141"/>
      <c r="I202" s="1141"/>
      <c r="J202" s="1141"/>
      <c r="K202" s="1135"/>
      <c r="L202" s="1141"/>
      <c r="M202" s="1141"/>
      <c r="N202" s="1141"/>
      <c r="O202" s="1141"/>
      <c r="P202" s="1141"/>
      <c r="Q202" s="1141"/>
      <c r="R202" s="1141"/>
      <c r="S202" s="1141"/>
      <c r="T202" s="1141"/>
      <c r="U202" s="1135"/>
      <c r="V202" s="1141"/>
      <c r="W202" s="1141"/>
      <c r="X202" s="1141"/>
      <c r="Y202" s="1141"/>
      <c r="Z202" s="1141"/>
      <c r="AA202" s="1141"/>
      <c r="AB202" s="1141"/>
      <c r="AC202" s="1141"/>
      <c r="AD202" s="1141"/>
      <c r="AE202" s="1135"/>
      <c r="AF202" s="1141"/>
      <c r="AG202" s="1135"/>
      <c r="AH202" s="1141"/>
      <c r="AI202" s="1141"/>
      <c r="AJ202" s="1142"/>
      <c r="AK202" s="1137">
        <f t="shared" si="12"/>
        <v>0</v>
      </c>
      <c r="AL202" s="1137">
        <f t="shared" si="12"/>
        <v>0</v>
      </c>
    </row>
    <row r="203" spans="1:38" hidden="1" outlineLevel="2" x14ac:dyDescent="0.3">
      <c r="A203" s="1130"/>
      <c r="B203" s="1138"/>
      <c r="C203" s="1139"/>
      <c r="D203" s="1140"/>
      <c r="E203" s="1134"/>
      <c r="F203" s="1141"/>
      <c r="G203" s="1141"/>
      <c r="H203" s="1141"/>
      <c r="I203" s="1141"/>
      <c r="J203" s="1141"/>
      <c r="K203" s="1135"/>
      <c r="L203" s="1141"/>
      <c r="M203" s="1141"/>
      <c r="N203" s="1141"/>
      <c r="O203" s="1141"/>
      <c r="P203" s="1141"/>
      <c r="Q203" s="1141"/>
      <c r="R203" s="1141"/>
      <c r="S203" s="1141"/>
      <c r="T203" s="1141"/>
      <c r="U203" s="1135"/>
      <c r="V203" s="1141"/>
      <c r="W203" s="1141"/>
      <c r="X203" s="1141"/>
      <c r="Y203" s="1141"/>
      <c r="Z203" s="1141"/>
      <c r="AA203" s="1141"/>
      <c r="AB203" s="1141"/>
      <c r="AC203" s="1141"/>
      <c r="AD203" s="1141"/>
      <c r="AE203" s="1135"/>
      <c r="AF203" s="1141"/>
      <c r="AG203" s="1135"/>
      <c r="AH203" s="1141"/>
      <c r="AI203" s="1141"/>
      <c r="AJ203" s="1142"/>
      <c r="AK203" s="1137">
        <f t="shared" si="12"/>
        <v>0</v>
      </c>
      <c r="AL203" s="1137">
        <f t="shared" si="12"/>
        <v>0</v>
      </c>
    </row>
    <row r="204" spans="1:38" hidden="1" outlineLevel="2" x14ac:dyDescent="0.3">
      <c r="A204" s="1130"/>
      <c r="B204" s="1138"/>
      <c r="C204" s="1139"/>
      <c r="D204" s="1140"/>
      <c r="E204" s="1134"/>
      <c r="F204" s="1141"/>
      <c r="G204" s="1141"/>
      <c r="H204" s="1141"/>
      <c r="I204" s="1141"/>
      <c r="J204" s="1141"/>
      <c r="K204" s="1135"/>
      <c r="L204" s="1141"/>
      <c r="M204" s="1141"/>
      <c r="N204" s="1141"/>
      <c r="O204" s="1141"/>
      <c r="P204" s="1141"/>
      <c r="Q204" s="1141"/>
      <c r="R204" s="1141"/>
      <c r="S204" s="1141"/>
      <c r="T204" s="1141"/>
      <c r="U204" s="1135"/>
      <c r="V204" s="1141"/>
      <c r="W204" s="1141"/>
      <c r="X204" s="1141"/>
      <c r="Y204" s="1141"/>
      <c r="Z204" s="1141"/>
      <c r="AA204" s="1141"/>
      <c r="AB204" s="1141"/>
      <c r="AC204" s="1141"/>
      <c r="AD204" s="1141"/>
      <c r="AE204" s="1135"/>
      <c r="AF204" s="1141"/>
      <c r="AG204" s="1135"/>
      <c r="AH204" s="1141"/>
      <c r="AI204" s="1141"/>
      <c r="AJ204" s="1142"/>
      <c r="AK204" s="1137">
        <f t="shared" si="12"/>
        <v>0</v>
      </c>
      <c r="AL204" s="1137">
        <f t="shared" si="12"/>
        <v>0</v>
      </c>
    </row>
    <row r="205" spans="1:38" hidden="1" outlineLevel="2" x14ac:dyDescent="0.3">
      <c r="A205" s="1130"/>
      <c r="B205" s="1138"/>
      <c r="C205" s="1139"/>
      <c r="D205" s="1140"/>
      <c r="E205" s="1134"/>
      <c r="F205" s="1141"/>
      <c r="G205" s="1141"/>
      <c r="H205" s="1141"/>
      <c r="I205" s="1141"/>
      <c r="J205" s="1141"/>
      <c r="K205" s="1135"/>
      <c r="L205" s="1141"/>
      <c r="M205" s="1141"/>
      <c r="N205" s="1141"/>
      <c r="O205" s="1141"/>
      <c r="P205" s="1141"/>
      <c r="Q205" s="1141"/>
      <c r="R205" s="1141"/>
      <c r="S205" s="1141"/>
      <c r="T205" s="1141"/>
      <c r="U205" s="1135"/>
      <c r="V205" s="1141"/>
      <c r="W205" s="1141"/>
      <c r="X205" s="1141"/>
      <c r="Y205" s="1141"/>
      <c r="Z205" s="1141"/>
      <c r="AA205" s="1141"/>
      <c r="AB205" s="1141"/>
      <c r="AC205" s="1141"/>
      <c r="AD205" s="1141"/>
      <c r="AE205" s="1135"/>
      <c r="AF205" s="1141"/>
      <c r="AG205" s="1135"/>
      <c r="AH205" s="1141"/>
      <c r="AI205" s="1141"/>
      <c r="AJ205" s="1142"/>
      <c r="AK205" s="1137">
        <f t="shared" si="12"/>
        <v>0</v>
      </c>
      <c r="AL205" s="1137">
        <f t="shared" si="12"/>
        <v>0</v>
      </c>
    </row>
    <row r="206" spans="1:38" hidden="1" outlineLevel="2" x14ac:dyDescent="0.3">
      <c r="A206" s="1130"/>
      <c r="B206" s="1138"/>
      <c r="C206" s="1139"/>
      <c r="D206" s="1140"/>
      <c r="E206" s="1134"/>
      <c r="F206" s="1141"/>
      <c r="G206" s="1141"/>
      <c r="H206" s="1141"/>
      <c r="I206" s="1141"/>
      <c r="J206" s="1141"/>
      <c r="K206" s="1135"/>
      <c r="L206" s="1141"/>
      <c r="M206" s="1141"/>
      <c r="N206" s="1141"/>
      <c r="O206" s="1141"/>
      <c r="P206" s="1141"/>
      <c r="Q206" s="1141"/>
      <c r="R206" s="1141"/>
      <c r="S206" s="1141"/>
      <c r="T206" s="1141"/>
      <c r="U206" s="1135"/>
      <c r="V206" s="1141"/>
      <c r="W206" s="1141"/>
      <c r="X206" s="1141"/>
      <c r="Y206" s="1141"/>
      <c r="Z206" s="1141"/>
      <c r="AA206" s="1141"/>
      <c r="AB206" s="1141"/>
      <c r="AC206" s="1141"/>
      <c r="AD206" s="1141"/>
      <c r="AE206" s="1135"/>
      <c r="AF206" s="1141"/>
      <c r="AG206" s="1135"/>
      <c r="AH206" s="1141"/>
      <c r="AI206" s="1141"/>
      <c r="AJ206" s="1142"/>
      <c r="AK206" s="1137">
        <f t="shared" si="12"/>
        <v>0</v>
      </c>
      <c r="AL206" s="1137">
        <f t="shared" si="12"/>
        <v>0</v>
      </c>
    </row>
    <row r="207" spans="1:38" hidden="1" outlineLevel="2" x14ac:dyDescent="0.3">
      <c r="A207" s="1130"/>
      <c r="B207" s="1138"/>
      <c r="C207" s="1139"/>
      <c r="D207" s="1140"/>
      <c r="E207" s="1134"/>
      <c r="F207" s="1141"/>
      <c r="G207" s="1141"/>
      <c r="H207" s="1141"/>
      <c r="I207" s="1141"/>
      <c r="J207" s="1141"/>
      <c r="K207" s="1135"/>
      <c r="L207" s="1141"/>
      <c r="M207" s="1141"/>
      <c r="N207" s="1141"/>
      <c r="O207" s="1141"/>
      <c r="P207" s="1141"/>
      <c r="Q207" s="1141"/>
      <c r="R207" s="1141"/>
      <c r="S207" s="1141"/>
      <c r="T207" s="1141"/>
      <c r="U207" s="1135"/>
      <c r="V207" s="1141"/>
      <c r="W207" s="1141"/>
      <c r="X207" s="1141"/>
      <c r="Y207" s="1141"/>
      <c r="Z207" s="1141"/>
      <c r="AA207" s="1141"/>
      <c r="AB207" s="1141"/>
      <c r="AC207" s="1141"/>
      <c r="AD207" s="1141"/>
      <c r="AE207" s="1135"/>
      <c r="AF207" s="1141"/>
      <c r="AG207" s="1135"/>
      <c r="AH207" s="1141"/>
      <c r="AI207" s="1141"/>
      <c r="AJ207" s="1142"/>
      <c r="AK207" s="1137">
        <f t="shared" si="12"/>
        <v>0</v>
      </c>
      <c r="AL207" s="1137">
        <f t="shared" si="12"/>
        <v>0</v>
      </c>
    </row>
    <row r="208" spans="1:38" hidden="1" outlineLevel="2" x14ac:dyDescent="0.3">
      <c r="A208" s="1130"/>
      <c r="B208" s="1138"/>
      <c r="C208" s="1139"/>
      <c r="D208" s="1140"/>
      <c r="E208" s="1134"/>
      <c r="F208" s="1141"/>
      <c r="G208" s="1141"/>
      <c r="H208" s="1141"/>
      <c r="I208" s="1141"/>
      <c r="J208" s="1141"/>
      <c r="K208" s="1135"/>
      <c r="L208" s="1141"/>
      <c r="M208" s="1141"/>
      <c r="N208" s="1141"/>
      <c r="O208" s="1141"/>
      <c r="P208" s="1141"/>
      <c r="Q208" s="1141"/>
      <c r="R208" s="1141"/>
      <c r="S208" s="1141"/>
      <c r="T208" s="1141"/>
      <c r="U208" s="1135"/>
      <c r="V208" s="1141"/>
      <c r="W208" s="1141"/>
      <c r="X208" s="1141"/>
      <c r="Y208" s="1141"/>
      <c r="Z208" s="1141"/>
      <c r="AA208" s="1141"/>
      <c r="AB208" s="1141"/>
      <c r="AC208" s="1141"/>
      <c r="AD208" s="1141"/>
      <c r="AE208" s="1135"/>
      <c r="AF208" s="1141"/>
      <c r="AG208" s="1135"/>
      <c r="AH208" s="1141"/>
      <c r="AI208" s="1141"/>
      <c r="AJ208" s="1142"/>
      <c r="AK208" s="1137">
        <f t="shared" si="12"/>
        <v>0</v>
      </c>
      <c r="AL208" s="1137">
        <f t="shared" si="12"/>
        <v>0</v>
      </c>
    </row>
    <row r="209" spans="1:38" hidden="1" outlineLevel="2" x14ac:dyDescent="0.3">
      <c r="A209" s="1130"/>
      <c r="B209" s="1138"/>
      <c r="C209" s="1139"/>
      <c r="D209" s="1140"/>
      <c r="E209" s="1134"/>
      <c r="F209" s="1141"/>
      <c r="G209" s="1141"/>
      <c r="H209" s="1141"/>
      <c r="I209" s="1141"/>
      <c r="J209" s="1141"/>
      <c r="K209" s="1135"/>
      <c r="L209" s="1141"/>
      <c r="M209" s="1141"/>
      <c r="N209" s="1141"/>
      <c r="O209" s="1141"/>
      <c r="P209" s="1141"/>
      <c r="Q209" s="1141"/>
      <c r="R209" s="1141"/>
      <c r="S209" s="1141"/>
      <c r="T209" s="1141"/>
      <c r="U209" s="1135"/>
      <c r="V209" s="1141"/>
      <c r="W209" s="1141"/>
      <c r="X209" s="1141"/>
      <c r="Y209" s="1141"/>
      <c r="Z209" s="1141"/>
      <c r="AA209" s="1141"/>
      <c r="AB209" s="1141"/>
      <c r="AC209" s="1141"/>
      <c r="AD209" s="1141"/>
      <c r="AE209" s="1135"/>
      <c r="AF209" s="1141"/>
      <c r="AG209" s="1135"/>
      <c r="AH209" s="1141"/>
      <c r="AI209" s="1141"/>
      <c r="AJ209" s="1142"/>
      <c r="AK209" s="1137">
        <f t="shared" si="12"/>
        <v>0</v>
      </c>
      <c r="AL209" s="1137">
        <f t="shared" si="12"/>
        <v>0</v>
      </c>
    </row>
    <row r="210" spans="1:38" hidden="1" outlineLevel="2" x14ac:dyDescent="0.3">
      <c r="A210" s="1130"/>
      <c r="B210" s="1138"/>
      <c r="C210" s="1139"/>
      <c r="D210" s="1140"/>
      <c r="E210" s="1134"/>
      <c r="F210" s="1141"/>
      <c r="G210" s="1141"/>
      <c r="H210" s="1141"/>
      <c r="I210" s="1141"/>
      <c r="J210" s="1141"/>
      <c r="K210" s="1135"/>
      <c r="L210" s="1141"/>
      <c r="M210" s="1141"/>
      <c r="N210" s="1141"/>
      <c r="O210" s="1141"/>
      <c r="P210" s="1141"/>
      <c r="Q210" s="1141"/>
      <c r="R210" s="1141"/>
      <c r="S210" s="1141"/>
      <c r="T210" s="1141"/>
      <c r="U210" s="1135"/>
      <c r="V210" s="1141"/>
      <c r="W210" s="1141"/>
      <c r="X210" s="1141"/>
      <c r="Y210" s="1141"/>
      <c r="Z210" s="1141"/>
      <c r="AA210" s="1141"/>
      <c r="AB210" s="1141"/>
      <c r="AC210" s="1141"/>
      <c r="AD210" s="1141"/>
      <c r="AE210" s="1135"/>
      <c r="AF210" s="1141"/>
      <c r="AG210" s="1135"/>
      <c r="AH210" s="1141"/>
      <c r="AI210" s="1141"/>
      <c r="AJ210" s="1142"/>
      <c r="AK210" s="1137">
        <f t="shared" si="12"/>
        <v>0</v>
      </c>
      <c r="AL210" s="1137">
        <f t="shared" si="12"/>
        <v>0</v>
      </c>
    </row>
    <row r="211" spans="1:38" hidden="1" outlineLevel="2" x14ac:dyDescent="0.3">
      <c r="A211" s="1130"/>
      <c r="B211" s="1138"/>
      <c r="C211" s="1139"/>
      <c r="D211" s="1140"/>
      <c r="E211" s="1134"/>
      <c r="F211" s="1141"/>
      <c r="G211" s="1141"/>
      <c r="H211" s="1141"/>
      <c r="I211" s="1141"/>
      <c r="J211" s="1141"/>
      <c r="K211" s="1135"/>
      <c r="L211" s="1141"/>
      <c r="M211" s="1141"/>
      <c r="N211" s="1141"/>
      <c r="O211" s="1141"/>
      <c r="P211" s="1141"/>
      <c r="Q211" s="1141"/>
      <c r="R211" s="1141"/>
      <c r="S211" s="1141"/>
      <c r="T211" s="1141"/>
      <c r="U211" s="1135"/>
      <c r="V211" s="1141"/>
      <c r="W211" s="1141"/>
      <c r="X211" s="1141"/>
      <c r="Y211" s="1141"/>
      <c r="Z211" s="1141"/>
      <c r="AA211" s="1141"/>
      <c r="AB211" s="1141"/>
      <c r="AC211" s="1141"/>
      <c r="AD211" s="1141"/>
      <c r="AE211" s="1135"/>
      <c r="AF211" s="1141"/>
      <c r="AG211" s="1135"/>
      <c r="AH211" s="1141"/>
      <c r="AI211" s="1141"/>
      <c r="AJ211" s="1142"/>
      <c r="AK211" s="1137">
        <f t="shared" si="12"/>
        <v>0</v>
      </c>
      <c r="AL211" s="1137">
        <f t="shared" si="12"/>
        <v>0</v>
      </c>
    </row>
    <row r="212" spans="1:38" hidden="1" outlineLevel="2" x14ac:dyDescent="0.3">
      <c r="A212" s="1130"/>
      <c r="B212" s="1138"/>
      <c r="C212" s="1139"/>
      <c r="D212" s="1140"/>
      <c r="E212" s="1134"/>
      <c r="F212" s="1141"/>
      <c r="G212" s="1141"/>
      <c r="H212" s="1141"/>
      <c r="I212" s="1141"/>
      <c r="J212" s="1141"/>
      <c r="K212" s="1135"/>
      <c r="L212" s="1141"/>
      <c r="M212" s="1141"/>
      <c r="N212" s="1141"/>
      <c r="O212" s="1141"/>
      <c r="P212" s="1141"/>
      <c r="Q212" s="1141"/>
      <c r="R212" s="1141"/>
      <c r="S212" s="1141"/>
      <c r="T212" s="1141"/>
      <c r="U212" s="1135"/>
      <c r="V212" s="1141"/>
      <c r="W212" s="1141"/>
      <c r="X212" s="1141"/>
      <c r="Y212" s="1141"/>
      <c r="Z212" s="1141"/>
      <c r="AA212" s="1141"/>
      <c r="AB212" s="1141"/>
      <c r="AC212" s="1141"/>
      <c r="AD212" s="1141"/>
      <c r="AE212" s="1135"/>
      <c r="AF212" s="1141"/>
      <c r="AG212" s="1135"/>
      <c r="AH212" s="1141"/>
      <c r="AI212" s="1141"/>
      <c r="AJ212" s="1142"/>
      <c r="AK212" s="1137">
        <f t="shared" si="12"/>
        <v>0</v>
      </c>
      <c r="AL212" s="1137">
        <f t="shared" si="12"/>
        <v>0</v>
      </c>
    </row>
    <row r="213" spans="1:38" hidden="1" outlineLevel="2" x14ac:dyDescent="0.3">
      <c r="A213" s="1130"/>
      <c r="B213" s="1138"/>
      <c r="C213" s="1139"/>
      <c r="D213" s="1140"/>
      <c r="E213" s="1134"/>
      <c r="F213" s="1141"/>
      <c r="G213" s="1141"/>
      <c r="H213" s="1141"/>
      <c r="I213" s="1141"/>
      <c r="J213" s="1141"/>
      <c r="K213" s="1135"/>
      <c r="L213" s="1141"/>
      <c r="M213" s="1141"/>
      <c r="N213" s="1141"/>
      <c r="O213" s="1141"/>
      <c r="P213" s="1141"/>
      <c r="Q213" s="1141"/>
      <c r="R213" s="1141"/>
      <c r="S213" s="1141"/>
      <c r="T213" s="1141"/>
      <c r="U213" s="1135"/>
      <c r="V213" s="1141"/>
      <c r="W213" s="1141"/>
      <c r="X213" s="1141"/>
      <c r="Y213" s="1141"/>
      <c r="Z213" s="1141"/>
      <c r="AA213" s="1141"/>
      <c r="AB213" s="1141"/>
      <c r="AC213" s="1141"/>
      <c r="AD213" s="1141"/>
      <c r="AE213" s="1135"/>
      <c r="AF213" s="1141"/>
      <c r="AG213" s="1135"/>
      <c r="AH213" s="1141"/>
      <c r="AI213" s="1141"/>
      <c r="AJ213" s="1142"/>
      <c r="AK213" s="1137">
        <f t="shared" si="12"/>
        <v>0</v>
      </c>
      <c r="AL213" s="1137">
        <f t="shared" si="12"/>
        <v>0</v>
      </c>
    </row>
    <row r="214" spans="1:38" hidden="1" outlineLevel="2" x14ac:dyDescent="0.3">
      <c r="A214" s="1130"/>
      <c r="B214" s="1138"/>
      <c r="C214" s="1139"/>
      <c r="D214" s="1140"/>
      <c r="E214" s="1134"/>
      <c r="F214" s="1141"/>
      <c r="G214" s="1141"/>
      <c r="H214" s="1141"/>
      <c r="I214" s="1141"/>
      <c r="J214" s="1141"/>
      <c r="K214" s="1135"/>
      <c r="L214" s="1141"/>
      <c r="M214" s="1141"/>
      <c r="N214" s="1141"/>
      <c r="O214" s="1141"/>
      <c r="P214" s="1141"/>
      <c r="Q214" s="1141"/>
      <c r="R214" s="1141"/>
      <c r="S214" s="1141"/>
      <c r="T214" s="1141"/>
      <c r="U214" s="1135"/>
      <c r="V214" s="1141"/>
      <c r="W214" s="1141"/>
      <c r="X214" s="1141"/>
      <c r="Y214" s="1141"/>
      <c r="Z214" s="1141"/>
      <c r="AA214" s="1141"/>
      <c r="AB214" s="1141"/>
      <c r="AC214" s="1141"/>
      <c r="AD214" s="1141"/>
      <c r="AE214" s="1135"/>
      <c r="AF214" s="1141"/>
      <c r="AG214" s="1135"/>
      <c r="AH214" s="1141"/>
      <c r="AI214" s="1141"/>
      <c r="AJ214" s="1142"/>
      <c r="AK214" s="1137">
        <f t="shared" si="12"/>
        <v>0</v>
      </c>
      <c r="AL214" s="1137">
        <f t="shared" si="12"/>
        <v>0</v>
      </c>
    </row>
    <row r="215" spans="1:38" hidden="1" outlineLevel="2" x14ac:dyDescent="0.3">
      <c r="A215" s="1130"/>
      <c r="B215" s="1138"/>
      <c r="C215" s="1139"/>
      <c r="D215" s="1140"/>
      <c r="E215" s="1134"/>
      <c r="F215" s="1141"/>
      <c r="G215" s="1141"/>
      <c r="H215" s="1141"/>
      <c r="I215" s="1141"/>
      <c r="J215" s="1141"/>
      <c r="K215" s="1135"/>
      <c r="L215" s="1141"/>
      <c r="M215" s="1141"/>
      <c r="N215" s="1141"/>
      <c r="O215" s="1141"/>
      <c r="P215" s="1141"/>
      <c r="Q215" s="1141"/>
      <c r="R215" s="1141"/>
      <c r="S215" s="1141"/>
      <c r="T215" s="1141"/>
      <c r="U215" s="1135"/>
      <c r="V215" s="1141"/>
      <c r="W215" s="1141"/>
      <c r="X215" s="1141"/>
      <c r="Y215" s="1141"/>
      <c r="Z215" s="1141"/>
      <c r="AA215" s="1141"/>
      <c r="AB215" s="1141"/>
      <c r="AC215" s="1141"/>
      <c r="AD215" s="1141"/>
      <c r="AE215" s="1135"/>
      <c r="AF215" s="1141"/>
      <c r="AG215" s="1135"/>
      <c r="AH215" s="1141"/>
      <c r="AI215" s="1141"/>
      <c r="AJ215" s="1142"/>
      <c r="AK215" s="1137">
        <f t="shared" si="12"/>
        <v>0</v>
      </c>
      <c r="AL215" s="1137">
        <f t="shared" si="12"/>
        <v>0</v>
      </c>
    </row>
    <row r="216" spans="1:38" hidden="1" outlineLevel="2" x14ac:dyDescent="0.3">
      <c r="A216" s="1130"/>
      <c r="B216" s="1138"/>
      <c r="C216" s="1139"/>
      <c r="D216" s="1140"/>
      <c r="E216" s="1134"/>
      <c r="F216" s="1141"/>
      <c r="G216" s="1141"/>
      <c r="H216" s="1141"/>
      <c r="I216" s="1141"/>
      <c r="J216" s="1141"/>
      <c r="K216" s="1135"/>
      <c r="L216" s="1141"/>
      <c r="M216" s="1141"/>
      <c r="N216" s="1141"/>
      <c r="O216" s="1141"/>
      <c r="P216" s="1141"/>
      <c r="Q216" s="1141"/>
      <c r="R216" s="1141"/>
      <c r="S216" s="1141"/>
      <c r="T216" s="1141"/>
      <c r="U216" s="1135"/>
      <c r="V216" s="1141"/>
      <c r="W216" s="1141"/>
      <c r="X216" s="1141"/>
      <c r="Y216" s="1141"/>
      <c r="Z216" s="1141"/>
      <c r="AA216" s="1141"/>
      <c r="AB216" s="1141"/>
      <c r="AC216" s="1141"/>
      <c r="AD216" s="1141"/>
      <c r="AE216" s="1135"/>
      <c r="AF216" s="1141"/>
      <c r="AG216" s="1135"/>
      <c r="AH216" s="1141"/>
      <c r="AI216" s="1141"/>
      <c r="AJ216" s="1142"/>
      <c r="AK216" s="1137">
        <f t="shared" si="12"/>
        <v>0</v>
      </c>
      <c r="AL216" s="1137">
        <f t="shared" si="12"/>
        <v>0</v>
      </c>
    </row>
    <row r="217" spans="1:38" hidden="1" outlineLevel="2" x14ac:dyDescent="0.3">
      <c r="A217" s="1130"/>
      <c r="B217" s="1138"/>
      <c r="C217" s="1139"/>
      <c r="D217" s="1140"/>
      <c r="E217" s="1134"/>
      <c r="F217" s="1141"/>
      <c r="G217" s="1141"/>
      <c r="H217" s="1141"/>
      <c r="I217" s="1141"/>
      <c r="J217" s="1141"/>
      <c r="K217" s="1135"/>
      <c r="L217" s="1141"/>
      <c r="M217" s="1141"/>
      <c r="N217" s="1141"/>
      <c r="O217" s="1141"/>
      <c r="P217" s="1141"/>
      <c r="Q217" s="1141"/>
      <c r="R217" s="1141"/>
      <c r="S217" s="1141"/>
      <c r="T217" s="1141"/>
      <c r="U217" s="1135"/>
      <c r="V217" s="1141"/>
      <c r="W217" s="1141"/>
      <c r="X217" s="1141"/>
      <c r="Y217" s="1141"/>
      <c r="Z217" s="1141"/>
      <c r="AA217" s="1141"/>
      <c r="AB217" s="1141"/>
      <c r="AC217" s="1141"/>
      <c r="AD217" s="1141"/>
      <c r="AE217" s="1135"/>
      <c r="AF217" s="1141"/>
      <c r="AG217" s="1135"/>
      <c r="AH217" s="1141"/>
      <c r="AI217" s="1141"/>
      <c r="AJ217" s="1142"/>
      <c r="AK217" s="1137">
        <f t="shared" si="12"/>
        <v>0</v>
      </c>
      <c r="AL217" s="1137">
        <f t="shared" si="12"/>
        <v>0</v>
      </c>
    </row>
    <row r="218" spans="1:38" hidden="1" outlineLevel="2" x14ac:dyDescent="0.3">
      <c r="A218" s="1130"/>
      <c r="B218" s="1138"/>
      <c r="C218" s="1139"/>
      <c r="D218" s="1140"/>
      <c r="E218" s="1134"/>
      <c r="F218" s="1141"/>
      <c r="G218" s="1141"/>
      <c r="H218" s="1141"/>
      <c r="I218" s="1141"/>
      <c r="J218" s="1141"/>
      <c r="K218" s="1135"/>
      <c r="L218" s="1141"/>
      <c r="M218" s="1141"/>
      <c r="N218" s="1141"/>
      <c r="O218" s="1141"/>
      <c r="P218" s="1141"/>
      <c r="Q218" s="1141"/>
      <c r="R218" s="1141"/>
      <c r="S218" s="1141"/>
      <c r="T218" s="1141"/>
      <c r="U218" s="1135"/>
      <c r="V218" s="1141"/>
      <c r="W218" s="1141"/>
      <c r="X218" s="1141"/>
      <c r="Y218" s="1141"/>
      <c r="Z218" s="1141"/>
      <c r="AA218" s="1141"/>
      <c r="AB218" s="1141"/>
      <c r="AC218" s="1141"/>
      <c r="AD218" s="1141"/>
      <c r="AE218" s="1135"/>
      <c r="AF218" s="1141"/>
      <c r="AG218" s="1135"/>
      <c r="AH218" s="1141"/>
      <c r="AI218" s="1141"/>
      <c r="AJ218" s="1142"/>
      <c r="AK218" s="1137">
        <f t="shared" si="12"/>
        <v>0</v>
      </c>
      <c r="AL218" s="1137">
        <f t="shared" si="12"/>
        <v>0</v>
      </c>
    </row>
    <row r="219" spans="1:38" hidden="1" outlineLevel="2" x14ac:dyDescent="0.3">
      <c r="A219" s="1130"/>
      <c r="B219" s="1138"/>
      <c r="C219" s="1139"/>
      <c r="D219" s="1140"/>
      <c r="E219" s="1134"/>
      <c r="F219" s="1141"/>
      <c r="G219" s="1141"/>
      <c r="H219" s="1141"/>
      <c r="I219" s="1141"/>
      <c r="J219" s="1141"/>
      <c r="K219" s="1135"/>
      <c r="L219" s="1141"/>
      <c r="M219" s="1141"/>
      <c r="N219" s="1141"/>
      <c r="O219" s="1141"/>
      <c r="P219" s="1141"/>
      <c r="Q219" s="1141"/>
      <c r="R219" s="1141"/>
      <c r="S219" s="1141"/>
      <c r="T219" s="1141"/>
      <c r="U219" s="1135"/>
      <c r="V219" s="1141"/>
      <c r="W219" s="1141"/>
      <c r="X219" s="1141"/>
      <c r="Y219" s="1141"/>
      <c r="Z219" s="1141"/>
      <c r="AA219" s="1141"/>
      <c r="AB219" s="1141"/>
      <c r="AC219" s="1141"/>
      <c r="AD219" s="1141"/>
      <c r="AE219" s="1135"/>
      <c r="AF219" s="1141"/>
      <c r="AG219" s="1135"/>
      <c r="AH219" s="1141"/>
      <c r="AI219" s="1141"/>
      <c r="AJ219" s="1142"/>
      <c r="AK219" s="1137">
        <f t="shared" si="12"/>
        <v>0</v>
      </c>
      <c r="AL219" s="1137">
        <f t="shared" si="12"/>
        <v>0</v>
      </c>
    </row>
    <row r="220" spans="1:38" hidden="1" outlineLevel="2" x14ac:dyDescent="0.3">
      <c r="A220" s="1130"/>
      <c r="B220" s="1138"/>
      <c r="C220" s="1139"/>
      <c r="D220" s="1140"/>
      <c r="E220" s="1134"/>
      <c r="F220" s="1141"/>
      <c r="G220" s="1141"/>
      <c r="H220" s="1141"/>
      <c r="I220" s="1141"/>
      <c r="J220" s="1141"/>
      <c r="K220" s="1135"/>
      <c r="L220" s="1141"/>
      <c r="M220" s="1141"/>
      <c r="N220" s="1141"/>
      <c r="O220" s="1141"/>
      <c r="P220" s="1141"/>
      <c r="Q220" s="1141"/>
      <c r="R220" s="1141"/>
      <c r="S220" s="1141"/>
      <c r="T220" s="1141"/>
      <c r="U220" s="1135"/>
      <c r="V220" s="1141"/>
      <c r="W220" s="1141"/>
      <c r="X220" s="1141"/>
      <c r="Y220" s="1141"/>
      <c r="Z220" s="1141"/>
      <c r="AA220" s="1141"/>
      <c r="AB220" s="1141"/>
      <c r="AC220" s="1141"/>
      <c r="AD220" s="1141"/>
      <c r="AE220" s="1135"/>
      <c r="AF220" s="1141"/>
      <c r="AG220" s="1135"/>
      <c r="AH220" s="1141"/>
      <c r="AI220" s="1141"/>
      <c r="AJ220" s="1142"/>
      <c r="AK220" s="1137">
        <f t="shared" si="12"/>
        <v>0</v>
      </c>
      <c r="AL220" s="1137">
        <f t="shared" si="12"/>
        <v>0</v>
      </c>
    </row>
    <row r="221" spans="1:38" hidden="1" outlineLevel="2" x14ac:dyDescent="0.3">
      <c r="A221" s="1130"/>
      <c r="B221" s="1138"/>
      <c r="C221" s="1139"/>
      <c r="D221" s="1140"/>
      <c r="E221" s="1134"/>
      <c r="F221" s="1141"/>
      <c r="G221" s="1141"/>
      <c r="H221" s="1141"/>
      <c r="I221" s="1141"/>
      <c r="J221" s="1141"/>
      <c r="K221" s="1135"/>
      <c r="L221" s="1141"/>
      <c r="M221" s="1141"/>
      <c r="N221" s="1141"/>
      <c r="O221" s="1141"/>
      <c r="P221" s="1141"/>
      <c r="Q221" s="1141"/>
      <c r="R221" s="1141"/>
      <c r="S221" s="1141"/>
      <c r="T221" s="1141"/>
      <c r="U221" s="1135"/>
      <c r="V221" s="1141"/>
      <c r="W221" s="1141"/>
      <c r="X221" s="1141"/>
      <c r="Y221" s="1141"/>
      <c r="Z221" s="1141"/>
      <c r="AA221" s="1141"/>
      <c r="AB221" s="1141"/>
      <c r="AC221" s="1141"/>
      <c r="AD221" s="1141"/>
      <c r="AE221" s="1135"/>
      <c r="AF221" s="1141"/>
      <c r="AG221" s="1135"/>
      <c r="AH221" s="1141"/>
      <c r="AI221" s="1141"/>
      <c r="AJ221" s="1142"/>
      <c r="AK221" s="1137">
        <f t="shared" si="12"/>
        <v>0</v>
      </c>
      <c r="AL221" s="1137">
        <f t="shared" si="12"/>
        <v>0</v>
      </c>
    </row>
    <row r="222" spans="1:38" hidden="1" outlineLevel="2" x14ac:dyDescent="0.3">
      <c r="A222" s="1130"/>
      <c r="B222" s="1138"/>
      <c r="C222" s="1139"/>
      <c r="D222" s="1140"/>
      <c r="E222" s="1134"/>
      <c r="F222" s="1141"/>
      <c r="G222" s="1141"/>
      <c r="H222" s="1141"/>
      <c r="I222" s="1141"/>
      <c r="J222" s="1141"/>
      <c r="K222" s="1135"/>
      <c r="L222" s="1141"/>
      <c r="M222" s="1141"/>
      <c r="N222" s="1141"/>
      <c r="O222" s="1141"/>
      <c r="P222" s="1141"/>
      <c r="Q222" s="1141"/>
      <c r="R222" s="1141"/>
      <c r="S222" s="1141"/>
      <c r="T222" s="1141"/>
      <c r="U222" s="1135"/>
      <c r="V222" s="1141"/>
      <c r="W222" s="1141"/>
      <c r="X222" s="1141"/>
      <c r="Y222" s="1141"/>
      <c r="Z222" s="1141"/>
      <c r="AA222" s="1141"/>
      <c r="AB222" s="1141"/>
      <c r="AC222" s="1141"/>
      <c r="AD222" s="1141"/>
      <c r="AE222" s="1135"/>
      <c r="AF222" s="1141"/>
      <c r="AG222" s="1135"/>
      <c r="AH222" s="1141"/>
      <c r="AI222" s="1141"/>
      <c r="AJ222" s="1142"/>
      <c r="AK222" s="1137">
        <f t="shared" si="12"/>
        <v>0</v>
      </c>
      <c r="AL222" s="1137">
        <f t="shared" si="12"/>
        <v>0</v>
      </c>
    </row>
    <row r="223" spans="1:38" hidden="1" outlineLevel="2" x14ac:dyDescent="0.3">
      <c r="A223" s="1130"/>
      <c r="B223" s="1138"/>
      <c r="C223" s="1139"/>
      <c r="D223" s="1140"/>
      <c r="E223" s="1134"/>
      <c r="F223" s="1141"/>
      <c r="G223" s="1141"/>
      <c r="H223" s="1141"/>
      <c r="I223" s="1141"/>
      <c r="J223" s="1141"/>
      <c r="K223" s="1135"/>
      <c r="L223" s="1141"/>
      <c r="M223" s="1141"/>
      <c r="N223" s="1141"/>
      <c r="O223" s="1141"/>
      <c r="P223" s="1141"/>
      <c r="Q223" s="1141"/>
      <c r="R223" s="1141"/>
      <c r="S223" s="1141"/>
      <c r="T223" s="1141"/>
      <c r="U223" s="1135"/>
      <c r="V223" s="1141"/>
      <c r="W223" s="1141"/>
      <c r="X223" s="1141"/>
      <c r="Y223" s="1141"/>
      <c r="Z223" s="1141"/>
      <c r="AA223" s="1141"/>
      <c r="AB223" s="1141"/>
      <c r="AC223" s="1141"/>
      <c r="AD223" s="1141"/>
      <c r="AE223" s="1135"/>
      <c r="AF223" s="1141"/>
      <c r="AG223" s="1135"/>
      <c r="AH223" s="1141"/>
      <c r="AI223" s="1141"/>
      <c r="AJ223" s="1142"/>
      <c r="AK223" s="1137">
        <f t="shared" si="12"/>
        <v>0</v>
      </c>
      <c r="AL223" s="1137">
        <f t="shared" si="12"/>
        <v>0</v>
      </c>
    </row>
    <row r="224" spans="1:38" hidden="1" outlineLevel="2" x14ac:dyDescent="0.3">
      <c r="A224" s="1130"/>
      <c r="B224" s="1138"/>
      <c r="C224" s="1139"/>
      <c r="D224" s="1140"/>
      <c r="E224" s="1134"/>
      <c r="F224" s="1141"/>
      <c r="G224" s="1141"/>
      <c r="H224" s="1141"/>
      <c r="I224" s="1141"/>
      <c r="J224" s="1141"/>
      <c r="K224" s="1135"/>
      <c r="L224" s="1141"/>
      <c r="M224" s="1141"/>
      <c r="N224" s="1141"/>
      <c r="O224" s="1141"/>
      <c r="P224" s="1141"/>
      <c r="Q224" s="1141"/>
      <c r="R224" s="1141"/>
      <c r="S224" s="1141"/>
      <c r="T224" s="1141"/>
      <c r="U224" s="1135"/>
      <c r="V224" s="1141"/>
      <c r="W224" s="1141"/>
      <c r="X224" s="1141"/>
      <c r="Y224" s="1141"/>
      <c r="Z224" s="1141"/>
      <c r="AA224" s="1141"/>
      <c r="AB224" s="1141"/>
      <c r="AC224" s="1141"/>
      <c r="AD224" s="1141"/>
      <c r="AE224" s="1135"/>
      <c r="AF224" s="1141"/>
      <c r="AG224" s="1135"/>
      <c r="AH224" s="1141"/>
      <c r="AI224" s="1141"/>
      <c r="AJ224" s="1142"/>
      <c r="AK224" s="1137">
        <f t="shared" si="12"/>
        <v>0</v>
      </c>
      <c r="AL224" s="1137">
        <f t="shared" si="12"/>
        <v>0</v>
      </c>
    </row>
    <row r="225" spans="1:38" hidden="1" outlineLevel="2" x14ac:dyDescent="0.3">
      <c r="A225" s="1130"/>
      <c r="B225" s="1138"/>
      <c r="C225" s="1139"/>
      <c r="D225" s="1140"/>
      <c r="E225" s="1134"/>
      <c r="F225" s="1141"/>
      <c r="G225" s="1141"/>
      <c r="H225" s="1141"/>
      <c r="I225" s="1141"/>
      <c r="J225" s="1141"/>
      <c r="K225" s="1135"/>
      <c r="L225" s="1141"/>
      <c r="M225" s="1141"/>
      <c r="N225" s="1141"/>
      <c r="O225" s="1141"/>
      <c r="P225" s="1141"/>
      <c r="Q225" s="1141"/>
      <c r="R225" s="1141"/>
      <c r="S225" s="1141"/>
      <c r="T225" s="1141"/>
      <c r="U225" s="1135"/>
      <c r="V225" s="1141"/>
      <c r="W225" s="1141"/>
      <c r="X225" s="1141"/>
      <c r="Y225" s="1141"/>
      <c r="Z225" s="1141"/>
      <c r="AA225" s="1141"/>
      <c r="AB225" s="1141"/>
      <c r="AC225" s="1141"/>
      <c r="AD225" s="1141"/>
      <c r="AE225" s="1135"/>
      <c r="AF225" s="1141"/>
      <c r="AG225" s="1135"/>
      <c r="AH225" s="1141"/>
      <c r="AI225" s="1141"/>
      <c r="AJ225" s="1142"/>
      <c r="AK225" s="1137">
        <f t="shared" si="12"/>
        <v>0</v>
      </c>
      <c r="AL225" s="1137">
        <f t="shared" si="12"/>
        <v>0</v>
      </c>
    </row>
    <row r="226" spans="1:38" hidden="1" outlineLevel="2" x14ac:dyDescent="0.3">
      <c r="A226" s="1130"/>
      <c r="B226" s="1138"/>
      <c r="C226" s="1139"/>
      <c r="D226" s="1140"/>
      <c r="E226" s="1134"/>
      <c r="F226" s="1141"/>
      <c r="G226" s="1141"/>
      <c r="H226" s="1141"/>
      <c r="I226" s="1141"/>
      <c r="J226" s="1141"/>
      <c r="K226" s="1135"/>
      <c r="L226" s="1141"/>
      <c r="M226" s="1141"/>
      <c r="N226" s="1141"/>
      <c r="O226" s="1141"/>
      <c r="P226" s="1141"/>
      <c r="Q226" s="1141"/>
      <c r="R226" s="1141"/>
      <c r="S226" s="1141"/>
      <c r="T226" s="1141"/>
      <c r="U226" s="1135"/>
      <c r="V226" s="1141"/>
      <c r="W226" s="1141"/>
      <c r="X226" s="1141"/>
      <c r="Y226" s="1141"/>
      <c r="Z226" s="1141"/>
      <c r="AA226" s="1141"/>
      <c r="AB226" s="1141"/>
      <c r="AC226" s="1141"/>
      <c r="AD226" s="1141"/>
      <c r="AE226" s="1135"/>
      <c r="AF226" s="1141"/>
      <c r="AG226" s="1135"/>
      <c r="AH226" s="1141"/>
      <c r="AI226" s="1141"/>
      <c r="AJ226" s="1142"/>
      <c r="AK226" s="1137">
        <f t="shared" si="12"/>
        <v>0</v>
      </c>
      <c r="AL226" s="1137">
        <f t="shared" si="12"/>
        <v>0</v>
      </c>
    </row>
    <row r="227" spans="1:38" hidden="1" outlineLevel="2" x14ac:dyDescent="0.3">
      <c r="A227" s="1130"/>
      <c r="B227" s="1138"/>
      <c r="C227" s="1139"/>
      <c r="D227" s="1140"/>
      <c r="E227" s="1134"/>
      <c r="F227" s="1141"/>
      <c r="G227" s="1141"/>
      <c r="H227" s="1141"/>
      <c r="I227" s="1141"/>
      <c r="J227" s="1141"/>
      <c r="K227" s="1135"/>
      <c r="L227" s="1141"/>
      <c r="M227" s="1141"/>
      <c r="N227" s="1141"/>
      <c r="O227" s="1141"/>
      <c r="P227" s="1141"/>
      <c r="Q227" s="1141"/>
      <c r="R227" s="1141"/>
      <c r="S227" s="1141"/>
      <c r="T227" s="1141"/>
      <c r="U227" s="1135"/>
      <c r="V227" s="1141"/>
      <c r="W227" s="1141"/>
      <c r="X227" s="1141"/>
      <c r="Y227" s="1141"/>
      <c r="Z227" s="1141"/>
      <c r="AA227" s="1141"/>
      <c r="AB227" s="1141"/>
      <c r="AC227" s="1141"/>
      <c r="AD227" s="1141"/>
      <c r="AE227" s="1135"/>
      <c r="AF227" s="1141"/>
      <c r="AG227" s="1135"/>
      <c r="AH227" s="1141"/>
      <c r="AI227" s="1141"/>
      <c r="AJ227" s="1142"/>
      <c r="AK227" s="1137">
        <f t="shared" si="12"/>
        <v>0</v>
      </c>
      <c r="AL227" s="1137">
        <f t="shared" si="12"/>
        <v>0</v>
      </c>
    </row>
    <row r="228" spans="1:38" hidden="1" outlineLevel="2" x14ac:dyDescent="0.3">
      <c r="A228" s="1130"/>
      <c r="B228" s="1138"/>
      <c r="C228" s="1139"/>
      <c r="D228" s="1140"/>
      <c r="E228" s="1134"/>
      <c r="F228" s="1141"/>
      <c r="G228" s="1141"/>
      <c r="H228" s="1141"/>
      <c r="I228" s="1141"/>
      <c r="J228" s="1141"/>
      <c r="K228" s="1135"/>
      <c r="L228" s="1141"/>
      <c r="M228" s="1141"/>
      <c r="N228" s="1141"/>
      <c r="O228" s="1141"/>
      <c r="P228" s="1141"/>
      <c r="Q228" s="1141"/>
      <c r="R228" s="1141"/>
      <c r="S228" s="1141"/>
      <c r="T228" s="1141"/>
      <c r="U228" s="1135"/>
      <c r="V228" s="1141"/>
      <c r="W228" s="1141"/>
      <c r="X228" s="1141"/>
      <c r="Y228" s="1141"/>
      <c r="Z228" s="1141"/>
      <c r="AA228" s="1141"/>
      <c r="AB228" s="1141"/>
      <c r="AC228" s="1141"/>
      <c r="AD228" s="1141"/>
      <c r="AE228" s="1135"/>
      <c r="AF228" s="1141"/>
      <c r="AG228" s="1135"/>
      <c r="AH228" s="1141"/>
      <c r="AI228" s="1141"/>
      <c r="AJ228" s="1142"/>
      <c r="AK228" s="1137">
        <f t="shared" ref="AK228:AL246" si="13">SUM(E228,G228,I228)-SUM(K228,M228,O228,Q228,S228,U228,W228,Y228,AA228,AC228,AE228,AG228,AI228)</f>
        <v>0</v>
      </c>
      <c r="AL228" s="1137">
        <f t="shared" si="13"/>
        <v>0</v>
      </c>
    </row>
    <row r="229" spans="1:38" hidden="1" outlineLevel="2" x14ac:dyDescent="0.3">
      <c r="A229" s="1130"/>
      <c r="B229" s="1138"/>
      <c r="C229" s="1139"/>
      <c r="D229" s="1140"/>
      <c r="E229" s="1134"/>
      <c r="F229" s="1141"/>
      <c r="G229" s="1141"/>
      <c r="H229" s="1141"/>
      <c r="I229" s="1141"/>
      <c r="J229" s="1141"/>
      <c r="K229" s="1135"/>
      <c r="L229" s="1141"/>
      <c r="M229" s="1141"/>
      <c r="N229" s="1141"/>
      <c r="O229" s="1141"/>
      <c r="P229" s="1141"/>
      <c r="Q229" s="1141"/>
      <c r="R229" s="1141"/>
      <c r="S229" s="1141"/>
      <c r="T229" s="1141"/>
      <c r="U229" s="1135"/>
      <c r="V229" s="1141"/>
      <c r="W229" s="1141"/>
      <c r="X229" s="1141"/>
      <c r="Y229" s="1141"/>
      <c r="Z229" s="1141"/>
      <c r="AA229" s="1141"/>
      <c r="AB229" s="1141"/>
      <c r="AC229" s="1141"/>
      <c r="AD229" s="1141"/>
      <c r="AE229" s="1135"/>
      <c r="AF229" s="1141"/>
      <c r="AG229" s="1135"/>
      <c r="AH229" s="1141"/>
      <c r="AI229" s="1141"/>
      <c r="AJ229" s="1142"/>
      <c r="AK229" s="1137">
        <f t="shared" si="13"/>
        <v>0</v>
      </c>
      <c r="AL229" s="1137">
        <f t="shared" si="13"/>
        <v>0</v>
      </c>
    </row>
    <row r="230" spans="1:38" hidden="1" outlineLevel="2" x14ac:dyDescent="0.3">
      <c r="A230" s="1130"/>
      <c r="B230" s="1138"/>
      <c r="C230" s="1139"/>
      <c r="D230" s="1140"/>
      <c r="E230" s="1134"/>
      <c r="F230" s="1141"/>
      <c r="G230" s="1141"/>
      <c r="H230" s="1141"/>
      <c r="I230" s="1141"/>
      <c r="J230" s="1141"/>
      <c r="K230" s="1135"/>
      <c r="L230" s="1141"/>
      <c r="M230" s="1141"/>
      <c r="N230" s="1141"/>
      <c r="O230" s="1141"/>
      <c r="P230" s="1141"/>
      <c r="Q230" s="1141"/>
      <c r="R230" s="1141"/>
      <c r="S230" s="1141"/>
      <c r="T230" s="1141"/>
      <c r="U230" s="1135"/>
      <c r="V230" s="1141"/>
      <c r="W230" s="1141"/>
      <c r="X230" s="1141"/>
      <c r="Y230" s="1141"/>
      <c r="Z230" s="1141"/>
      <c r="AA230" s="1141"/>
      <c r="AB230" s="1141"/>
      <c r="AC230" s="1141"/>
      <c r="AD230" s="1141"/>
      <c r="AE230" s="1135"/>
      <c r="AF230" s="1141"/>
      <c r="AG230" s="1135"/>
      <c r="AH230" s="1141"/>
      <c r="AI230" s="1141"/>
      <c r="AJ230" s="1142"/>
      <c r="AK230" s="1137">
        <f t="shared" si="13"/>
        <v>0</v>
      </c>
      <c r="AL230" s="1137">
        <f t="shared" si="13"/>
        <v>0</v>
      </c>
    </row>
    <row r="231" spans="1:38" hidden="1" outlineLevel="2" x14ac:dyDescent="0.3">
      <c r="A231" s="1130"/>
      <c r="B231" s="1138"/>
      <c r="C231" s="1139"/>
      <c r="D231" s="1140"/>
      <c r="E231" s="1134"/>
      <c r="F231" s="1141"/>
      <c r="G231" s="1141"/>
      <c r="H231" s="1141"/>
      <c r="I231" s="1141"/>
      <c r="J231" s="1141"/>
      <c r="K231" s="1135"/>
      <c r="L231" s="1141"/>
      <c r="M231" s="1141"/>
      <c r="N231" s="1141"/>
      <c r="O231" s="1141"/>
      <c r="P231" s="1141"/>
      <c r="Q231" s="1141"/>
      <c r="R231" s="1141"/>
      <c r="S231" s="1141"/>
      <c r="T231" s="1141"/>
      <c r="U231" s="1135"/>
      <c r="V231" s="1141"/>
      <c r="W231" s="1141"/>
      <c r="X231" s="1141"/>
      <c r="Y231" s="1141"/>
      <c r="Z231" s="1141"/>
      <c r="AA231" s="1141"/>
      <c r="AB231" s="1141"/>
      <c r="AC231" s="1141"/>
      <c r="AD231" s="1141"/>
      <c r="AE231" s="1135"/>
      <c r="AF231" s="1141"/>
      <c r="AG231" s="1135"/>
      <c r="AH231" s="1141"/>
      <c r="AI231" s="1141"/>
      <c r="AJ231" s="1142"/>
      <c r="AK231" s="1137">
        <f t="shared" si="13"/>
        <v>0</v>
      </c>
      <c r="AL231" s="1137">
        <f t="shared" si="13"/>
        <v>0</v>
      </c>
    </row>
    <row r="232" spans="1:38" hidden="1" outlineLevel="2" x14ac:dyDescent="0.3">
      <c r="A232" s="1130"/>
      <c r="B232" s="1138"/>
      <c r="C232" s="1139"/>
      <c r="D232" s="1140"/>
      <c r="E232" s="1134"/>
      <c r="F232" s="1141"/>
      <c r="G232" s="1141"/>
      <c r="H232" s="1141"/>
      <c r="I232" s="1141"/>
      <c r="J232" s="1141"/>
      <c r="K232" s="1135"/>
      <c r="L232" s="1141"/>
      <c r="M232" s="1141"/>
      <c r="N232" s="1141"/>
      <c r="O232" s="1141"/>
      <c r="P232" s="1141"/>
      <c r="Q232" s="1141"/>
      <c r="R232" s="1141"/>
      <c r="S232" s="1141"/>
      <c r="T232" s="1141"/>
      <c r="U232" s="1135"/>
      <c r="V232" s="1141"/>
      <c r="W232" s="1141"/>
      <c r="X232" s="1141"/>
      <c r="Y232" s="1141"/>
      <c r="Z232" s="1141"/>
      <c r="AA232" s="1141"/>
      <c r="AB232" s="1141"/>
      <c r="AC232" s="1141"/>
      <c r="AD232" s="1141"/>
      <c r="AE232" s="1135"/>
      <c r="AF232" s="1141"/>
      <c r="AG232" s="1135"/>
      <c r="AH232" s="1141"/>
      <c r="AI232" s="1141"/>
      <c r="AJ232" s="1142"/>
      <c r="AK232" s="1137">
        <f t="shared" si="13"/>
        <v>0</v>
      </c>
      <c r="AL232" s="1137">
        <f t="shared" si="13"/>
        <v>0</v>
      </c>
    </row>
    <row r="233" spans="1:38" hidden="1" outlineLevel="2" x14ac:dyDescent="0.3">
      <c r="A233" s="1130"/>
      <c r="B233" s="1138"/>
      <c r="C233" s="1139"/>
      <c r="D233" s="1140"/>
      <c r="E233" s="1134"/>
      <c r="F233" s="1141"/>
      <c r="G233" s="1141"/>
      <c r="H233" s="1141"/>
      <c r="I233" s="1141"/>
      <c r="J233" s="1141"/>
      <c r="K233" s="1135"/>
      <c r="L233" s="1141"/>
      <c r="M233" s="1141"/>
      <c r="N233" s="1141"/>
      <c r="O233" s="1141"/>
      <c r="P233" s="1141"/>
      <c r="Q233" s="1141"/>
      <c r="R233" s="1141"/>
      <c r="S233" s="1141"/>
      <c r="T233" s="1141"/>
      <c r="U233" s="1135"/>
      <c r="V233" s="1141"/>
      <c r="W233" s="1141"/>
      <c r="X233" s="1141"/>
      <c r="Y233" s="1141"/>
      <c r="Z233" s="1141"/>
      <c r="AA233" s="1141"/>
      <c r="AB233" s="1141"/>
      <c r="AC233" s="1141"/>
      <c r="AD233" s="1141"/>
      <c r="AE233" s="1135"/>
      <c r="AF233" s="1141"/>
      <c r="AG233" s="1135"/>
      <c r="AH233" s="1141"/>
      <c r="AI233" s="1141"/>
      <c r="AJ233" s="1142"/>
      <c r="AK233" s="1137">
        <f t="shared" si="13"/>
        <v>0</v>
      </c>
      <c r="AL233" s="1137">
        <f t="shared" si="13"/>
        <v>0</v>
      </c>
    </row>
    <row r="234" spans="1:38" hidden="1" outlineLevel="2" x14ac:dyDescent="0.3">
      <c r="A234" s="1130"/>
      <c r="B234" s="1138"/>
      <c r="C234" s="1139"/>
      <c r="D234" s="1140"/>
      <c r="E234" s="1134"/>
      <c r="F234" s="1141"/>
      <c r="G234" s="1141"/>
      <c r="H234" s="1141"/>
      <c r="I234" s="1141"/>
      <c r="J234" s="1141"/>
      <c r="K234" s="1135"/>
      <c r="L234" s="1141"/>
      <c r="M234" s="1141"/>
      <c r="N234" s="1141"/>
      <c r="O234" s="1141"/>
      <c r="P234" s="1141"/>
      <c r="Q234" s="1141"/>
      <c r="R234" s="1141"/>
      <c r="S234" s="1141"/>
      <c r="T234" s="1141"/>
      <c r="U234" s="1135"/>
      <c r="V234" s="1141"/>
      <c r="W234" s="1141"/>
      <c r="X234" s="1141"/>
      <c r="Y234" s="1141"/>
      <c r="Z234" s="1141"/>
      <c r="AA234" s="1141"/>
      <c r="AB234" s="1141"/>
      <c r="AC234" s="1141"/>
      <c r="AD234" s="1141"/>
      <c r="AE234" s="1135"/>
      <c r="AF234" s="1141"/>
      <c r="AG234" s="1135"/>
      <c r="AH234" s="1141"/>
      <c r="AI234" s="1141"/>
      <c r="AJ234" s="1142"/>
      <c r="AK234" s="1137">
        <f t="shared" si="13"/>
        <v>0</v>
      </c>
      <c r="AL234" s="1137">
        <f t="shared" si="13"/>
        <v>0</v>
      </c>
    </row>
    <row r="235" spans="1:38" hidden="1" outlineLevel="2" x14ac:dyDescent="0.3">
      <c r="A235" s="1130"/>
      <c r="B235" s="1138"/>
      <c r="C235" s="1139"/>
      <c r="D235" s="1140"/>
      <c r="E235" s="1134"/>
      <c r="F235" s="1141"/>
      <c r="G235" s="1141"/>
      <c r="H235" s="1141"/>
      <c r="I235" s="1141"/>
      <c r="J235" s="1141"/>
      <c r="K235" s="1135"/>
      <c r="L235" s="1141"/>
      <c r="M235" s="1141"/>
      <c r="N235" s="1141"/>
      <c r="O235" s="1141"/>
      <c r="P235" s="1141"/>
      <c r="Q235" s="1141"/>
      <c r="R235" s="1141"/>
      <c r="S235" s="1141"/>
      <c r="T235" s="1141"/>
      <c r="U235" s="1135"/>
      <c r="V235" s="1141"/>
      <c r="W235" s="1141"/>
      <c r="X235" s="1141"/>
      <c r="Y235" s="1141"/>
      <c r="Z235" s="1141"/>
      <c r="AA235" s="1141"/>
      <c r="AB235" s="1141"/>
      <c r="AC235" s="1141"/>
      <c r="AD235" s="1141"/>
      <c r="AE235" s="1135"/>
      <c r="AF235" s="1141"/>
      <c r="AG235" s="1135"/>
      <c r="AH235" s="1141"/>
      <c r="AI235" s="1141"/>
      <c r="AJ235" s="1142"/>
      <c r="AK235" s="1137">
        <f t="shared" si="13"/>
        <v>0</v>
      </c>
      <c r="AL235" s="1137">
        <f t="shared" si="13"/>
        <v>0</v>
      </c>
    </row>
    <row r="236" spans="1:38" hidden="1" outlineLevel="2" x14ac:dyDescent="0.3">
      <c r="A236" s="1130"/>
      <c r="B236" s="1138"/>
      <c r="C236" s="1139"/>
      <c r="D236" s="1140"/>
      <c r="E236" s="1134"/>
      <c r="F236" s="1141"/>
      <c r="G236" s="1141"/>
      <c r="H236" s="1141"/>
      <c r="I236" s="1141"/>
      <c r="J236" s="1141"/>
      <c r="K236" s="1135"/>
      <c r="L236" s="1141"/>
      <c r="M236" s="1141"/>
      <c r="N236" s="1141"/>
      <c r="O236" s="1141"/>
      <c r="P236" s="1141"/>
      <c r="Q236" s="1141"/>
      <c r="R236" s="1141"/>
      <c r="S236" s="1141"/>
      <c r="T236" s="1141"/>
      <c r="U236" s="1135"/>
      <c r="V236" s="1141"/>
      <c r="W236" s="1141"/>
      <c r="X236" s="1141"/>
      <c r="Y236" s="1141"/>
      <c r="Z236" s="1141"/>
      <c r="AA236" s="1141"/>
      <c r="AB236" s="1141"/>
      <c r="AC236" s="1141"/>
      <c r="AD236" s="1141"/>
      <c r="AE236" s="1135"/>
      <c r="AF236" s="1141"/>
      <c r="AG236" s="1135"/>
      <c r="AH236" s="1141"/>
      <c r="AI236" s="1141"/>
      <c r="AJ236" s="1142"/>
      <c r="AK236" s="1137">
        <f t="shared" si="13"/>
        <v>0</v>
      </c>
      <c r="AL236" s="1137">
        <f t="shared" si="13"/>
        <v>0</v>
      </c>
    </row>
    <row r="237" spans="1:38" hidden="1" outlineLevel="2" x14ac:dyDescent="0.3">
      <c r="A237" s="1130"/>
      <c r="B237" s="1138"/>
      <c r="C237" s="1139"/>
      <c r="D237" s="1140"/>
      <c r="E237" s="1134"/>
      <c r="F237" s="1141"/>
      <c r="G237" s="1141"/>
      <c r="H237" s="1141"/>
      <c r="I237" s="1141"/>
      <c r="J237" s="1141"/>
      <c r="K237" s="1135"/>
      <c r="L237" s="1141"/>
      <c r="M237" s="1141"/>
      <c r="N237" s="1141"/>
      <c r="O237" s="1141"/>
      <c r="P237" s="1141"/>
      <c r="Q237" s="1141"/>
      <c r="R237" s="1141"/>
      <c r="S237" s="1141"/>
      <c r="T237" s="1141"/>
      <c r="U237" s="1135"/>
      <c r="V237" s="1141"/>
      <c r="W237" s="1141"/>
      <c r="X237" s="1141"/>
      <c r="Y237" s="1141"/>
      <c r="Z237" s="1141"/>
      <c r="AA237" s="1141"/>
      <c r="AB237" s="1141"/>
      <c r="AC237" s="1141"/>
      <c r="AD237" s="1141"/>
      <c r="AE237" s="1135"/>
      <c r="AF237" s="1141"/>
      <c r="AG237" s="1135"/>
      <c r="AH237" s="1141"/>
      <c r="AI237" s="1141"/>
      <c r="AJ237" s="1142"/>
      <c r="AK237" s="1137">
        <f t="shared" si="13"/>
        <v>0</v>
      </c>
      <c r="AL237" s="1137">
        <f t="shared" si="13"/>
        <v>0</v>
      </c>
    </row>
    <row r="238" spans="1:38" hidden="1" outlineLevel="2" x14ac:dyDescent="0.3">
      <c r="A238" s="1130"/>
      <c r="B238" s="1138"/>
      <c r="C238" s="1139"/>
      <c r="D238" s="1140"/>
      <c r="E238" s="1134"/>
      <c r="F238" s="1141"/>
      <c r="G238" s="1141"/>
      <c r="H238" s="1141"/>
      <c r="I238" s="1141"/>
      <c r="J238" s="1141"/>
      <c r="K238" s="1135"/>
      <c r="L238" s="1141"/>
      <c r="M238" s="1141"/>
      <c r="N238" s="1141"/>
      <c r="O238" s="1141"/>
      <c r="P238" s="1141"/>
      <c r="Q238" s="1141"/>
      <c r="R238" s="1141"/>
      <c r="S238" s="1141"/>
      <c r="T238" s="1141"/>
      <c r="U238" s="1135"/>
      <c r="V238" s="1141"/>
      <c r="W238" s="1141"/>
      <c r="X238" s="1141"/>
      <c r="Y238" s="1141"/>
      <c r="Z238" s="1141"/>
      <c r="AA238" s="1141"/>
      <c r="AB238" s="1141"/>
      <c r="AC238" s="1141"/>
      <c r="AD238" s="1141"/>
      <c r="AE238" s="1135"/>
      <c r="AF238" s="1141"/>
      <c r="AG238" s="1135"/>
      <c r="AH238" s="1141"/>
      <c r="AI238" s="1141"/>
      <c r="AJ238" s="1142"/>
      <c r="AK238" s="1137">
        <f t="shared" si="13"/>
        <v>0</v>
      </c>
      <c r="AL238" s="1137">
        <f t="shared" si="13"/>
        <v>0</v>
      </c>
    </row>
    <row r="239" spans="1:38" hidden="1" outlineLevel="2" x14ac:dyDescent="0.3">
      <c r="A239" s="1130"/>
      <c r="B239" s="1138"/>
      <c r="C239" s="1139"/>
      <c r="D239" s="1140"/>
      <c r="E239" s="1134"/>
      <c r="F239" s="1141"/>
      <c r="G239" s="1141"/>
      <c r="H239" s="1141"/>
      <c r="I239" s="1141"/>
      <c r="J239" s="1141"/>
      <c r="K239" s="1135"/>
      <c r="L239" s="1141"/>
      <c r="M239" s="1141"/>
      <c r="N239" s="1141"/>
      <c r="O239" s="1141"/>
      <c r="P239" s="1141"/>
      <c r="Q239" s="1141"/>
      <c r="R239" s="1141"/>
      <c r="S239" s="1141"/>
      <c r="T239" s="1141"/>
      <c r="U239" s="1135"/>
      <c r="V239" s="1141"/>
      <c r="W239" s="1141"/>
      <c r="X239" s="1141"/>
      <c r="Y239" s="1141"/>
      <c r="Z239" s="1141"/>
      <c r="AA239" s="1141"/>
      <c r="AB239" s="1141"/>
      <c r="AC239" s="1141"/>
      <c r="AD239" s="1141"/>
      <c r="AE239" s="1135"/>
      <c r="AF239" s="1141"/>
      <c r="AG239" s="1135"/>
      <c r="AH239" s="1141"/>
      <c r="AI239" s="1141"/>
      <c r="AJ239" s="1142"/>
      <c r="AK239" s="1137">
        <f t="shared" si="13"/>
        <v>0</v>
      </c>
      <c r="AL239" s="1137">
        <f t="shared" si="13"/>
        <v>0</v>
      </c>
    </row>
    <row r="240" spans="1:38" hidden="1" outlineLevel="2" x14ac:dyDescent="0.3">
      <c r="A240" s="1130"/>
      <c r="B240" s="1138"/>
      <c r="C240" s="1139"/>
      <c r="D240" s="1140"/>
      <c r="E240" s="1134"/>
      <c r="F240" s="1141"/>
      <c r="G240" s="1141"/>
      <c r="H240" s="1141"/>
      <c r="I240" s="1141"/>
      <c r="J240" s="1141"/>
      <c r="K240" s="1135"/>
      <c r="L240" s="1141"/>
      <c r="M240" s="1141"/>
      <c r="N240" s="1141"/>
      <c r="O240" s="1141"/>
      <c r="P240" s="1141"/>
      <c r="Q240" s="1141"/>
      <c r="R240" s="1141"/>
      <c r="S240" s="1141"/>
      <c r="T240" s="1141"/>
      <c r="U240" s="1135"/>
      <c r="V240" s="1141"/>
      <c r="W240" s="1141"/>
      <c r="X240" s="1141"/>
      <c r="Y240" s="1141"/>
      <c r="Z240" s="1141"/>
      <c r="AA240" s="1141"/>
      <c r="AB240" s="1141"/>
      <c r="AC240" s="1141"/>
      <c r="AD240" s="1141"/>
      <c r="AE240" s="1135"/>
      <c r="AF240" s="1141"/>
      <c r="AG240" s="1135"/>
      <c r="AH240" s="1141"/>
      <c r="AI240" s="1141"/>
      <c r="AJ240" s="1142"/>
      <c r="AK240" s="1137">
        <f t="shared" si="13"/>
        <v>0</v>
      </c>
      <c r="AL240" s="1137">
        <f t="shared" si="13"/>
        <v>0</v>
      </c>
    </row>
    <row r="241" spans="1:38" hidden="1" outlineLevel="2" x14ac:dyDescent="0.3">
      <c r="A241" s="1130"/>
      <c r="B241" s="1138"/>
      <c r="C241" s="1139"/>
      <c r="D241" s="1140"/>
      <c r="E241" s="1134"/>
      <c r="F241" s="1141"/>
      <c r="G241" s="1141"/>
      <c r="H241" s="1141"/>
      <c r="I241" s="1141"/>
      <c r="J241" s="1141"/>
      <c r="K241" s="1135"/>
      <c r="L241" s="1141"/>
      <c r="M241" s="1141"/>
      <c r="N241" s="1141"/>
      <c r="O241" s="1141"/>
      <c r="P241" s="1141"/>
      <c r="Q241" s="1141"/>
      <c r="R241" s="1141"/>
      <c r="S241" s="1141"/>
      <c r="T241" s="1141"/>
      <c r="U241" s="1135"/>
      <c r="V241" s="1141"/>
      <c r="W241" s="1141"/>
      <c r="X241" s="1141"/>
      <c r="Y241" s="1141"/>
      <c r="Z241" s="1141"/>
      <c r="AA241" s="1141"/>
      <c r="AB241" s="1141"/>
      <c r="AC241" s="1141"/>
      <c r="AD241" s="1141"/>
      <c r="AE241" s="1135"/>
      <c r="AF241" s="1141"/>
      <c r="AG241" s="1135"/>
      <c r="AH241" s="1141"/>
      <c r="AI241" s="1141"/>
      <c r="AJ241" s="1142"/>
      <c r="AK241" s="1137">
        <f t="shared" si="13"/>
        <v>0</v>
      </c>
      <c r="AL241" s="1137">
        <f t="shared" si="13"/>
        <v>0</v>
      </c>
    </row>
    <row r="242" spans="1:38" hidden="1" outlineLevel="2" x14ac:dyDescent="0.3">
      <c r="A242" s="1130"/>
      <c r="B242" s="1138"/>
      <c r="C242" s="1139"/>
      <c r="D242" s="1140"/>
      <c r="E242" s="1134"/>
      <c r="F242" s="1141"/>
      <c r="G242" s="1141"/>
      <c r="H242" s="1141"/>
      <c r="I242" s="1141"/>
      <c r="J242" s="1141"/>
      <c r="K242" s="1135"/>
      <c r="L242" s="1141"/>
      <c r="M242" s="1141"/>
      <c r="N242" s="1141"/>
      <c r="O242" s="1141"/>
      <c r="P242" s="1141"/>
      <c r="Q242" s="1141"/>
      <c r="R242" s="1141"/>
      <c r="S242" s="1141"/>
      <c r="T242" s="1141"/>
      <c r="U242" s="1135"/>
      <c r="V242" s="1141"/>
      <c r="W242" s="1141"/>
      <c r="X242" s="1141"/>
      <c r="Y242" s="1141"/>
      <c r="Z242" s="1141"/>
      <c r="AA242" s="1141"/>
      <c r="AB242" s="1141"/>
      <c r="AC242" s="1141"/>
      <c r="AD242" s="1141"/>
      <c r="AE242" s="1135"/>
      <c r="AF242" s="1141"/>
      <c r="AG242" s="1135"/>
      <c r="AH242" s="1141"/>
      <c r="AI242" s="1141"/>
      <c r="AJ242" s="1142"/>
      <c r="AK242" s="1137">
        <f t="shared" si="13"/>
        <v>0</v>
      </c>
      <c r="AL242" s="1137">
        <f t="shared" si="13"/>
        <v>0</v>
      </c>
    </row>
    <row r="243" spans="1:38" hidden="1" outlineLevel="2" x14ac:dyDescent="0.3">
      <c r="A243" s="1130"/>
      <c r="B243" s="1138"/>
      <c r="C243" s="1139"/>
      <c r="D243" s="1140"/>
      <c r="E243" s="1134"/>
      <c r="F243" s="1141"/>
      <c r="G243" s="1141"/>
      <c r="H243" s="1141"/>
      <c r="I243" s="1141"/>
      <c r="J243" s="1141"/>
      <c r="K243" s="1135"/>
      <c r="L243" s="1141"/>
      <c r="M243" s="1141"/>
      <c r="N243" s="1141"/>
      <c r="O243" s="1141"/>
      <c r="P243" s="1141"/>
      <c r="Q243" s="1141"/>
      <c r="R243" s="1141"/>
      <c r="S243" s="1141"/>
      <c r="T243" s="1141"/>
      <c r="U243" s="1135"/>
      <c r="V243" s="1141"/>
      <c r="W243" s="1141"/>
      <c r="X243" s="1141"/>
      <c r="Y243" s="1141"/>
      <c r="Z243" s="1141"/>
      <c r="AA243" s="1141"/>
      <c r="AB243" s="1141"/>
      <c r="AC243" s="1141"/>
      <c r="AD243" s="1141"/>
      <c r="AE243" s="1135"/>
      <c r="AF243" s="1141"/>
      <c r="AG243" s="1135"/>
      <c r="AH243" s="1141"/>
      <c r="AI243" s="1141"/>
      <c r="AJ243" s="1142"/>
      <c r="AK243" s="1137">
        <f t="shared" si="13"/>
        <v>0</v>
      </c>
      <c r="AL243" s="1137">
        <f t="shared" si="13"/>
        <v>0</v>
      </c>
    </row>
    <row r="244" spans="1:38" hidden="1" outlineLevel="2" x14ac:dyDescent="0.3">
      <c r="A244" s="1130"/>
      <c r="B244" s="1138"/>
      <c r="C244" s="1139"/>
      <c r="D244" s="1140"/>
      <c r="E244" s="1134"/>
      <c r="F244" s="1141"/>
      <c r="G244" s="1141"/>
      <c r="H244" s="1141"/>
      <c r="I244" s="1141"/>
      <c r="J244" s="1141"/>
      <c r="K244" s="1135"/>
      <c r="L244" s="1141"/>
      <c r="M244" s="1141"/>
      <c r="N244" s="1141"/>
      <c r="O244" s="1141"/>
      <c r="P244" s="1141"/>
      <c r="Q244" s="1141"/>
      <c r="R244" s="1141"/>
      <c r="S244" s="1141"/>
      <c r="T244" s="1141"/>
      <c r="U244" s="1135"/>
      <c r="V244" s="1141"/>
      <c r="W244" s="1141"/>
      <c r="X244" s="1141"/>
      <c r="Y244" s="1141"/>
      <c r="Z244" s="1141"/>
      <c r="AA244" s="1141"/>
      <c r="AB244" s="1141"/>
      <c r="AC244" s="1141"/>
      <c r="AD244" s="1141"/>
      <c r="AE244" s="1135"/>
      <c r="AF244" s="1141"/>
      <c r="AG244" s="1135"/>
      <c r="AH244" s="1141"/>
      <c r="AI244" s="1141"/>
      <c r="AJ244" s="1142"/>
      <c r="AK244" s="1137">
        <f t="shared" si="13"/>
        <v>0</v>
      </c>
      <c r="AL244" s="1137">
        <f t="shared" si="13"/>
        <v>0</v>
      </c>
    </row>
    <row r="245" spans="1:38" hidden="1" outlineLevel="2" x14ac:dyDescent="0.3">
      <c r="A245" s="1130"/>
      <c r="B245" s="1138"/>
      <c r="C245" s="1139"/>
      <c r="D245" s="1140"/>
      <c r="E245" s="1134"/>
      <c r="F245" s="1141"/>
      <c r="G245" s="1141"/>
      <c r="H245" s="1141"/>
      <c r="I245" s="1141"/>
      <c r="J245" s="1141"/>
      <c r="K245" s="1135"/>
      <c r="L245" s="1141"/>
      <c r="M245" s="1141"/>
      <c r="N245" s="1141"/>
      <c r="O245" s="1141"/>
      <c r="P245" s="1141"/>
      <c r="Q245" s="1141"/>
      <c r="R245" s="1141"/>
      <c r="S245" s="1141"/>
      <c r="T245" s="1141"/>
      <c r="U245" s="1135"/>
      <c r="V245" s="1141"/>
      <c r="W245" s="1141"/>
      <c r="X245" s="1141"/>
      <c r="Y245" s="1141"/>
      <c r="Z245" s="1141"/>
      <c r="AA245" s="1141"/>
      <c r="AB245" s="1141"/>
      <c r="AC245" s="1141"/>
      <c r="AD245" s="1141"/>
      <c r="AE245" s="1135"/>
      <c r="AF245" s="1141"/>
      <c r="AG245" s="1135"/>
      <c r="AH245" s="1141"/>
      <c r="AI245" s="1141"/>
      <c r="AJ245" s="1142"/>
      <c r="AK245" s="1137">
        <f t="shared" si="13"/>
        <v>0</v>
      </c>
      <c r="AL245" s="1137">
        <f t="shared" si="13"/>
        <v>0</v>
      </c>
    </row>
    <row r="246" spans="1:38" hidden="1" outlineLevel="2" x14ac:dyDescent="0.3">
      <c r="A246" s="1130"/>
      <c r="B246" s="1138"/>
      <c r="C246" s="1139"/>
      <c r="D246" s="1140"/>
      <c r="E246" s="1143"/>
      <c r="F246" s="1141"/>
      <c r="G246" s="1141"/>
      <c r="H246" s="1141"/>
      <c r="I246" s="1141"/>
      <c r="J246" s="1141"/>
      <c r="K246" s="1141"/>
      <c r="L246" s="1141"/>
      <c r="M246" s="1141"/>
      <c r="N246" s="1141"/>
      <c r="O246" s="1141"/>
      <c r="P246" s="1141"/>
      <c r="Q246" s="1141"/>
      <c r="R246" s="1141"/>
      <c r="S246" s="1141"/>
      <c r="T246" s="1141"/>
      <c r="U246" s="1135"/>
      <c r="V246" s="1141"/>
      <c r="W246" s="1141"/>
      <c r="X246" s="1141"/>
      <c r="Y246" s="1141"/>
      <c r="Z246" s="1141"/>
      <c r="AA246" s="1141"/>
      <c r="AB246" s="1141"/>
      <c r="AC246" s="1141"/>
      <c r="AD246" s="1141"/>
      <c r="AE246" s="1135"/>
      <c r="AF246" s="1141"/>
      <c r="AG246" s="1135"/>
      <c r="AH246" s="1141"/>
      <c r="AI246" s="1141"/>
      <c r="AJ246" s="1142"/>
      <c r="AK246" s="1137">
        <f t="shared" si="13"/>
        <v>0</v>
      </c>
      <c r="AL246" s="1144">
        <f t="shared" si="13"/>
        <v>0</v>
      </c>
    </row>
    <row r="247" spans="1:38" hidden="1" outlineLevel="2" x14ac:dyDescent="0.3">
      <c r="A247" s="1130"/>
      <c r="B247" s="1138"/>
      <c r="C247" s="1139"/>
      <c r="D247" s="1140"/>
      <c r="E247" s="1143"/>
      <c r="F247" s="1141"/>
      <c r="G247" s="1141"/>
      <c r="H247" s="1141"/>
      <c r="I247" s="1141"/>
      <c r="J247" s="1141"/>
      <c r="K247" s="1141"/>
      <c r="L247" s="1141"/>
      <c r="M247" s="1141"/>
      <c r="N247" s="1141"/>
      <c r="O247" s="1141"/>
      <c r="P247" s="1141"/>
      <c r="Q247" s="1141"/>
      <c r="R247" s="1141"/>
      <c r="S247" s="1141"/>
      <c r="T247" s="1141"/>
      <c r="U247" s="1141"/>
      <c r="V247" s="1141"/>
      <c r="W247" s="1141"/>
      <c r="X247" s="1141"/>
      <c r="Y247" s="1141"/>
      <c r="Z247" s="1141"/>
      <c r="AA247" s="1141"/>
      <c r="AB247" s="1141"/>
      <c r="AC247" s="1141"/>
      <c r="AD247" s="1141"/>
      <c r="AE247" s="1141"/>
      <c r="AF247" s="1141"/>
      <c r="AG247" s="1141"/>
      <c r="AH247" s="1141"/>
      <c r="AI247" s="1141"/>
      <c r="AJ247" s="1142"/>
      <c r="AK247" s="1142">
        <f t="shared" ref="AK247:AL268" si="14">SUM(E247,G247,I247)-SUM(K247,M247,O247,Q247,S247,U247,W247,Y247,AA247,AC247,AE247,AG247,AI247)</f>
        <v>0</v>
      </c>
      <c r="AL247" s="1144">
        <f t="shared" si="14"/>
        <v>0</v>
      </c>
    </row>
    <row r="248" spans="1:38" ht="15" outlineLevel="1" collapsed="1" thickBot="1" x14ac:dyDescent="0.35">
      <c r="A248" s="1130"/>
      <c r="B248" s="1145" t="s">
        <v>550</v>
      </c>
      <c r="C248" s="1146"/>
      <c r="D248" s="1147"/>
      <c r="E248" s="1148">
        <f t="shared" ref="E248:AJ248" si="15">SUBTOTAL(9,E196:E247)</f>
        <v>0</v>
      </c>
      <c r="F248" s="1149">
        <f t="shared" si="15"/>
        <v>0</v>
      </c>
      <c r="G248" s="1149">
        <f t="shared" si="15"/>
        <v>0</v>
      </c>
      <c r="H248" s="1149">
        <f t="shared" si="15"/>
        <v>0</v>
      </c>
      <c r="I248" s="1149">
        <f t="shared" si="15"/>
        <v>0</v>
      </c>
      <c r="J248" s="1149">
        <f t="shared" si="15"/>
        <v>0</v>
      </c>
      <c r="K248" s="1149">
        <f t="shared" si="15"/>
        <v>0</v>
      </c>
      <c r="L248" s="1149">
        <f t="shared" si="15"/>
        <v>0</v>
      </c>
      <c r="M248" s="1149">
        <f t="shared" si="15"/>
        <v>0</v>
      </c>
      <c r="N248" s="1149">
        <f t="shared" si="15"/>
        <v>0</v>
      </c>
      <c r="O248" s="1149">
        <f t="shared" si="15"/>
        <v>0</v>
      </c>
      <c r="P248" s="1149">
        <f t="shared" si="15"/>
        <v>0</v>
      </c>
      <c r="Q248" s="1149">
        <f t="shared" si="15"/>
        <v>0</v>
      </c>
      <c r="R248" s="1149">
        <f t="shared" si="15"/>
        <v>0</v>
      </c>
      <c r="S248" s="1149">
        <f t="shared" si="15"/>
        <v>0</v>
      </c>
      <c r="T248" s="1149">
        <f t="shared" si="15"/>
        <v>0</v>
      </c>
      <c r="U248" s="1149">
        <f t="shared" si="15"/>
        <v>0</v>
      </c>
      <c r="V248" s="1149">
        <f t="shared" si="15"/>
        <v>0</v>
      </c>
      <c r="W248" s="1149">
        <f t="shared" si="15"/>
        <v>0</v>
      </c>
      <c r="X248" s="1149">
        <f t="shared" si="15"/>
        <v>0</v>
      </c>
      <c r="Y248" s="1149">
        <f t="shared" si="15"/>
        <v>0</v>
      </c>
      <c r="Z248" s="1149">
        <f t="shared" si="15"/>
        <v>0</v>
      </c>
      <c r="AA248" s="1149">
        <f t="shared" si="15"/>
        <v>0</v>
      </c>
      <c r="AB248" s="1149">
        <f t="shared" si="15"/>
        <v>0</v>
      </c>
      <c r="AC248" s="1149">
        <f t="shared" si="15"/>
        <v>0</v>
      </c>
      <c r="AD248" s="1149">
        <f t="shared" si="15"/>
        <v>0</v>
      </c>
      <c r="AE248" s="1149">
        <f t="shared" si="15"/>
        <v>0</v>
      </c>
      <c r="AF248" s="1149">
        <f t="shared" si="15"/>
        <v>0</v>
      </c>
      <c r="AG248" s="1149">
        <f t="shared" si="15"/>
        <v>0</v>
      </c>
      <c r="AH248" s="1149">
        <f t="shared" si="15"/>
        <v>0</v>
      </c>
      <c r="AI248" s="1149">
        <f t="shared" si="15"/>
        <v>0</v>
      </c>
      <c r="AJ248" s="1149">
        <f t="shared" si="15"/>
        <v>0</v>
      </c>
      <c r="AK248" s="1149">
        <f t="shared" si="14"/>
        <v>0</v>
      </c>
      <c r="AL248" s="1149">
        <f t="shared" si="14"/>
        <v>0</v>
      </c>
    </row>
    <row r="249" spans="1:38" ht="36" outlineLevel="1" x14ac:dyDescent="0.35">
      <c r="A249" s="1150" t="s">
        <v>1460</v>
      </c>
      <c r="B249" s="1151"/>
      <c r="C249" s="1152"/>
      <c r="D249" s="1153"/>
      <c r="E249" s="1154"/>
      <c r="F249" s="1155"/>
      <c r="G249" s="1155"/>
      <c r="H249" s="1155"/>
      <c r="I249" s="1155"/>
      <c r="J249" s="1155"/>
      <c r="K249" s="1155"/>
      <c r="L249" s="1155"/>
      <c r="M249" s="1155"/>
      <c r="N249" s="1155"/>
      <c r="O249" s="1155"/>
      <c r="P249" s="1155"/>
      <c r="Q249" s="1155"/>
      <c r="R249" s="1155"/>
      <c r="S249" s="1155"/>
      <c r="T249" s="1155"/>
      <c r="U249" s="1155"/>
      <c r="V249" s="1155"/>
      <c r="W249" s="1155"/>
      <c r="X249" s="1155"/>
      <c r="Y249" s="1155"/>
      <c r="Z249" s="1155"/>
      <c r="AA249" s="1155"/>
      <c r="AB249" s="1155"/>
      <c r="AC249" s="1155"/>
      <c r="AD249" s="1155"/>
      <c r="AE249" s="1155"/>
      <c r="AF249" s="1155"/>
      <c r="AG249" s="1155"/>
      <c r="AH249" s="1155"/>
      <c r="AI249" s="1155"/>
      <c r="AJ249" s="1156"/>
      <c r="AK249" s="1156">
        <f t="shared" si="14"/>
        <v>0</v>
      </c>
      <c r="AL249" s="1157">
        <f t="shared" si="14"/>
        <v>0</v>
      </c>
    </row>
    <row r="250" spans="1:38" hidden="1" outlineLevel="2" x14ac:dyDescent="0.3">
      <c r="A250" s="1158"/>
      <c r="B250" s="1159"/>
      <c r="C250" s="1160"/>
      <c r="D250" s="1161"/>
      <c r="E250" s="1162"/>
      <c r="F250" s="1163"/>
      <c r="G250" s="1163"/>
      <c r="H250" s="1163"/>
      <c r="I250" s="1163"/>
      <c r="J250" s="1163"/>
      <c r="K250" s="1163"/>
      <c r="L250" s="1163"/>
      <c r="M250" s="1163"/>
      <c r="N250" s="1163"/>
      <c r="O250" s="1163"/>
      <c r="P250" s="1163"/>
      <c r="Q250" s="1163"/>
      <c r="R250" s="1163"/>
      <c r="S250" s="1163"/>
      <c r="T250" s="1163"/>
      <c r="U250" s="1163"/>
      <c r="V250" s="1163"/>
      <c r="W250" s="1163"/>
      <c r="X250" s="1163"/>
      <c r="Y250" s="1163"/>
      <c r="Z250" s="1163"/>
      <c r="AA250" s="1163"/>
      <c r="AB250" s="1163"/>
      <c r="AC250" s="1163"/>
      <c r="AD250" s="1163"/>
      <c r="AE250" s="1163"/>
      <c r="AF250" s="1163"/>
      <c r="AG250" s="1163"/>
      <c r="AH250" s="1163"/>
      <c r="AI250" s="1163"/>
      <c r="AJ250" s="1164"/>
      <c r="AK250" s="1164">
        <f t="shared" si="14"/>
        <v>0</v>
      </c>
      <c r="AL250" s="1165">
        <f t="shared" si="14"/>
        <v>0</v>
      </c>
    </row>
    <row r="251" spans="1:38" hidden="1" outlineLevel="2" x14ac:dyDescent="0.3">
      <c r="A251" s="1158"/>
      <c r="B251" s="1159"/>
      <c r="C251" s="1160"/>
      <c r="D251" s="1161"/>
      <c r="E251" s="1162"/>
      <c r="F251" s="1163"/>
      <c r="G251" s="1163"/>
      <c r="H251" s="1163"/>
      <c r="I251" s="1163"/>
      <c r="J251" s="1163"/>
      <c r="K251" s="1163"/>
      <c r="L251" s="1163"/>
      <c r="M251" s="1163"/>
      <c r="N251" s="1163"/>
      <c r="O251" s="1163"/>
      <c r="P251" s="1163"/>
      <c r="Q251" s="1163"/>
      <c r="R251" s="1163"/>
      <c r="S251" s="1163"/>
      <c r="T251" s="1163"/>
      <c r="U251" s="1163"/>
      <c r="V251" s="1163"/>
      <c r="W251" s="1163"/>
      <c r="X251" s="1163"/>
      <c r="Y251" s="1163"/>
      <c r="Z251" s="1163"/>
      <c r="AA251" s="1163"/>
      <c r="AB251" s="1163"/>
      <c r="AC251" s="1163"/>
      <c r="AD251" s="1163"/>
      <c r="AE251" s="1163"/>
      <c r="AF251" s="1163"/>
      <c r="AG251" s="1163"/>
      <c r="AH251" s="1163"/>
      <c r="AI251" s="1163"/>
      <c r="AJ251" s="1164"/>
      <c r="AK251" s="1164">
        <f t="shared" si="14"/>
        <v>0</v>
      </c>
      <c r="AL251" s="1165">
        <f t="shared" si="14"/>
        <v>0</v>
      </c>
    </row>
    <row r="252" spans="1:38" hidden="1" outlineLevel="2" x14ac:dyDescent="0.3">
      <c r="A252" s="1158"/>
      <c r="B252" s="1159"/>
      <c r="C252" s="1160"/>
      <c r="D252" s="1161"/>
      <c r="E252" s="1162"/>
      <c r="F252" s="1163"/>
      <c r="G252" s="1163"/>
      <c r="H252" s="1163"/>
      <c r="I252" s="1163"/>
      <c r="J252" s="1163"/>
      <c r="K252" s="1163"/>
      <c r="L252" s="1163"/>
      <c r="M252" s="1163"/>
      <c r="N252" s="1163"/>
      <c r="O252" s="1163"/>
      <c r="P252" s="1163"/>
      <c r="Q252" s="1163"/>
      <c r="R252" s="1163"/>
      <c r="S252" s="1163"/>
      <c r="T252" s="1163"/>
      <c r="U252" s="1163"/>
      <c r="V252" s="1163"/>
      <c r="W252" s="1163"/>
      <c r="X252" s="1163"/>
      <c r="Y252" s="1163"/>
      <c r="Z252" s="1163"/>
      <c r="AA252" s="1163"/>
      <c r="AB252" s="1163"/>
      <c r="AC252" s="1163"/>
      <c r="AD252" s="1163"/>
      <c r="AE252" s="1163"/>
      <c r="AF252" s="1163"/>
      <c r="AG252" s="1163"/>
      <c r="AH252" s="1163"/>
      <c r="AI252" s="1163"/>
      <c r="AJ252" s="1164"/>
      <c r="AK252" s="1164">
        <f t="shared" si="14"/>
        <v>0</v>
      </c>
      <c r="AL252" s="1165">
        <f t="shared" si="14"/>
        <v>0</v>
      </c>
    </row>
    <row r="253" spans="1:38" hidden="1" outlineLevel="2" x14ac:dyDescent="0.3">
      <c r="A253" s="1158"/>
      <c r="B253" s="1159"/>
      <c r="C253" s="1167"/>
      <c r="D253" s="1168"/>
      <c r="E253" s="1169"/>
      <c r="F253" s="1170"/>
      <c r="G253" s="1170"/>
      <c r="H253" s="1170"/>
      <c r="I253" s="1170"/>
      <c r="J253" s="1170"/>
      <c r="K253" s="1170"/>
      <c r="L253" s="1170"/>
      <c r="M253" s="1170"/>
      <c r="N253" s="1170"/>
      <c r="O253" s="1170"/>
      <c r="P253" s="1170"/>
      <c r="Q253" s="1170"/>
      <c r="R253" s="1170"/>
      <c r="S253" s="1170"/>
      <c r="T253" s="1170"/>
      <c r="U253" s="1170"/>
      <c r="V253" s="1170"/>
      <c r="W253" s="1170"/>
      <c r="X253" s="1170"/>
      <c r="Y253" s="1170"/>
      <c r="Z253" s="1170"/>
      <c r="AA253" s="1170"/>
      <c r="AB253" s="1170"/>
      <c r="AC253" s="1170"/>
      <c r="AD253" s="1170"/>
      <c r="AE253" s="1170"/>
      <c r="AF253" s="1170"/>
      <c r="AG253" s="1170"/>
      <c r="AH253" s="1170"/>
      <c r="AI253" s="1170"/>
      <c r="AJ253" s="1171"/>
      <c r="AK253" s="1171">
        <f t="shared" si="14"/>
        <v>0</v>
      </c>
      <c r="AL253" s="1172">
        <f t="shared" si="14"/>
        <v>0</v>
      </c>
    </row>
    <row r="254" spans="1:38" hidden="1" outlineLevel="2" x14ac:dyDescent="0.3">
      <c r="A254" s="1158"/>
      <c r="B254" s="1166"/>
      <c r="C254" s="1167"/>
      <c r="D254" s="1168"/>
      <c r="E254" s="1169"/>
      <c r="F254" s="1170"/>
      <c r="G254" s="1170"/>
      <c r="H254" s="1170"/>
      <c r="I254" s="1170"/>
      <c r="J254" s="1170"/>
      <c r="K254" s="1170"/>
      <c r="L254" s="1170"/>
      <c r="M254" s="1170"/>
      <c r="N254" s="1170"/>
      <c r="O254" s="1170"/>
      <c r="P254" s="1170"/>
      <c r="Q254" s="1170"/>
      <c r="R254" s="1170"/>
      <c r="S254" s="1170"/>
      <c r="T254" s="1170"/>
      <c r="U254" s="1170"/>
      <c r="V254" s="1170"/>
      <c r="W254" s="1170"/>
      <c r="X254" s="1170"/>
      <c r="Y254" s="1170"/>
      <c r="Z254" s="1170"/>
      <c r="AA254" s="1170"/>
      <c r="AB254" s="1170"/>
      <c r="AC254" s="1170"/>
      <c r="AD254" s="1170"/>
      <c r="AE254" s="1170"/>
      <c r="AF254" s="1170"/>
      <c r="AG254" s="1170"/>
      <c r="AH254" s="1170"/>
      <c r="AI254" s="1170"/>
      <c r="AJ254" s="1171"/>
      <c r="AK254" s="1171">
        <f t="shared" si="14"/>
        <v>0</v>
      </c>
      <c r="AL254" s="1172">
        <f t="shared" si="14"/>
        <v>0</v>
      </c>
    </row>
    <row r="255" spans="1:38" hidden="1" outlineLevel="2" x14ac:dyDescent="0.3">
      <c r="A255" s="1158"/>
      <c r="B255" s="1166"/>
      <c r="C255" s="1167"/>
      <c r="D255" s="1168"/>
      <c r="E255" s="1169"/>
      <c r="F255" s="1170"/>
      <c r="G255" s="1170"/>
      <c r="H255" s="1170"/>
      <c r="I255" s="1170"/>
      <c r="J255" s="1170"/>
      <c r="K255" s="1170"/>
      <c r="L255" s="1170"/>
      <c r="M255" s="1170"/>
      <c r="N255" s="1170"/>
      <c r="O255" s="1170"/>
      <c r="P255" s="1170"/>
      <c r="Q255" s="1170"/>
      <c r="R255" s="1170"/>
      <c r="S255" s="1170"/>
      <c r="T255" s="1170"/>
      <c r="U255" s="1170"/>
      <c r="V255" s="1170"/>
      <c r="W255" s="1170"/>
      <c r="X255" s="1170"/>
      <c r="Y255" s="1170"/>
      <c r="Z255" s="1170"/>
      <c r="AA255" s="1170"/>
      <c r="AB255" s="1170"/>
      <c r="AC255" s="1170"/>
      <c r="AD255" s="1170"/>
      <c r="AE255" s="1170"/>
      <c r="AF255" s="1170"/>
      <c r="AG255" s="1170"/>
      <c r="AH255" s="1170"/>
      <c r="AI255" s="1170"/>
      <c r="AJ255" s="1171"/>
      <c r="AK255" s="1171">
        <f t="shared" si="14"/>
        <v>0</v>
      </c>
      <c r="AL255" s="1172">
        <f t="shared" si="14"/>
        <v>0</v>
      </c>
    </row>
    <row r="256" spans="1:38" hidden="1" outlineLevel="2" x14ac:dyDescent="0.3">
      <c r="A256" s="1158"/>
      <c r="B256" s="1166"/>
      <c r="C256" s="1167"/>
      <c r="D256" s="1168"/>
      <c r="E256" s="1169"/>
      <c r="F256" s="1170"/>
      <c r="G256" s="1170"/>
      <c r="H256" s="1170"/>
      <c r="I256" s="1170"/>
      <c r="J256" s="1170"/>
      <c r="K256" s="1170"/>
      <c r="L256" s="1170"/>
      <c r="M256" s="1170"/>
      <c r="N256" s="1170"/>
      <c r="O256" s="1170"/>
      <c r="P256" s="1170"/>
      <c r="Q256" s="1170"/>
      <c r="R256" s="1170"/>
      <c r="S256" s="1170"/>
      <c r="T256" s="1170"/>
      <c r="U256" s="1170"/>
      <c r="V256" s="1170"/>
      <c r="W256" s="1170"/>
      <c r="X256" s="1170"/>
      <c r="Y256" s="1170"/>
      <c r="Z256" s="1170"/>
      <c r="AA256" s="1170"/>
      <c r="AB256" s="1170"/>
      <c r="AC256" s="1170"/>
      <c r="AD256" s="1170"/>
      <c r="AE256" s="1170"/>
      <c r="AF256" s="1170"/>
      <c r="AG256" s="1170"/>
      <c r="AH256" s="1170"/>
      <c r="AI256" s="1170"/>
      <c r="AJ256" s="1171"/>
      <c r="AK256" s="1171">
        <f t="shared" si="14"/>
        <v>0</v>
      </c>
      <c r="AL256" s="1172">
        <f t="shared" si="14"/>
        <v>0</v>
      </c>
    </row>
    <row r="257" spans="1:38" hidden="1" outlineLevel="2" x14ac:dyDescent="0.3">
      <c r="A257" s="1158"/>
      <c r="B257" s="1166"/>
      <c r="C257" s="1167"/>
      <c r="D257" s="1168"/>
      <c r="E257" s="1169"/>
      <c r="F257" s="1170"/>
      <c r="G257" s="1170"/>
      <c r="H257" s="1170"/>
      <c r="I257" s="1170"/>
      <c r="J257" s="1170"/>
      <c r="K257" s="1170"/>
      <c r="L257" s="1170"/>
      <c r="M257" s="1170"/>
      <c r="N257" s="1170"/>
      <c r="O257" s="1170"/>
      <c r="P257" s="1170"/>
      <c r="Q257" s="1170"/>
      <c r="R257" s="1170"/>
      <c r="S257" s="1170"/>
      <c r="T257" s="1170"/>
      <c r="U257" s="1170"/>
      <c r="V257" s="1170"/>
      <c r="W257" s="1170"/>
      <c r="X257" s="1170"/>
      <c r="Y257" s="1170"/>
      <c r="Z257" s="1170"/>
      <c r="AA257" s="1170"/>
      <c r="AB257" s="1170"/>
      <c r="AC257" s="1170"/>
      <c r="AD257" s="1170"/>
      <c r="AE257" s="1170"/>
      <c r="AF257" s="1170"/>
      <c r="AG257" s="1170"/>
      <c r="AH257" s="1170"/>
      <c r="AI257" s="1170"/>
      <c r="AJ257" s="1171"/>
      <c r="AK257" s="1171">
        <f t="shared" si="14"/>
        <v>0</v>
      </c>
      <c r="AL257" s="1172">
        <f t="shared" si="14"/>
        <v>0</v>
      </c>
    </row>
    <row r="258" spans="1:38" hidden="1" outlineLevel="2" x14ac:dyDescent="0.3">
      <c r="A258" s="1158"/>
      <c r="B258" s="1166"/>
      <c r="C258" s="1167"/>
      <c r="D258" s="1168"/>
      <c r="E258" s="1169"/>
      <c r="F258" s="1170"/>
      <c r="G258" s="1170"/>
      <c r="H258" s="1170"/>
      <c r="I258" s="1170"/>
      <c r="J258" s="1170"/>
      <c r="K258" s="1170"/>
      <c r="L258" s="1170"/>
      <c r="M258" s="1170"/>
      <c r="N258" s="1170"/>
      <c r="O258" s="1170"/>
      <c r="P258" s="1170"/>
      <c r="Q258" s="1170"/>
      <c r="R258" s="1170"/>
      <c r="S258" s="1170"/>
      <c r="T258" s="1170"/>
      <c r="U258" s="1170"/>
      <c r="V258" s="1170"/>
      <c r="W258" s="1170"/>
      <c r="X258" s="1170"/>
      <c r="Y258" s="1170"/>
      <c r="Z258" s="1170"/>
      <c r="AA258" s="1170"/>
      <c r="AB258" s="1170"/>
      <c r="AC258" s="1170"/>
      <c r="AD258" s="1170"/>
      <c r="AE258" s="1170"/>
      <c r="AF258" s="1170"/>
      <c r="AG258" s="1170"/>
      <c r="AH258" s="1170"/>
      <c r="AI258" s="1170"/>
      <c r="AJ258" s="1171"/>
      <c r="AK258" s="1171">
        <f t="shared" si="14"/>
        <v>0</v>
      </c>
      <c r="AL258" s="1172">
        <f t="shared" si="14"/>
        <v>0</v>
      </c>
    </row>
    <row r="259" spans="1:38" ht="15" outlineLevel="1" collapsed="1" thickBot="1" x14ac:dyDescent="0.35">
      <c r="A259" s="1158"/>
      <c r="B259" s="1173" t="s">
        <v>550</v>
      </c>
      <c r="C259" s="1174"/>
      <c r="D259" s="1175"/>
      <c r="E259" s="1176">
        <f>SUBTOTAL(9,E250:E252)</f>
        <v>0</v>
      </c>
      <c r="F259" s="1177"/>
      <c r="G259" s="1177">
        <f t="shared" ref="G259:AI259" si="16">SUBTOTAL(9,G250:G252)</f>
        <v>0</v>
      </c>
      <c r="H259" s="1177"/>
      <c r="I259" s="1177">
        <f t="shared" si="16"/>
        <v>0</v>
      </c>
      <c r="J259" s="1177"/>
      <c r="K259" s="1177">
        <f t="shared" si="16"/>
        <v>0</v>
      </c>
      <c r="L259" s="1177"/>
      <c r="M259" s="1177">
        <f t="shared" si="16"/>
        <v>0</v>
      </c>
      <c r="N259" s="1177"/>
      <c r="O259" s="1177">
        <f t="shared" si="16"/>
        <v>0</v>
      </c>
      <c r="P259" s="1177"/>
      <c r="Q259" s="1177">
        <f t="shared" si="16"/>
        <v>0</v>
      </c>
      <c r="R259" s="1177"/>
      <c r="S259" s="1177">
        <f t="shared" si="16"/>
        <v>0</v>
      </c>
      <c r="T259" s="1177"/>
      <c r="U259" s="1177">
        <f t="shared" si="16"/>
        <v>0</v>
      </c>
      <c r="V259" s="1177"/>
      <c r="W259" s="1177">
        <f t="shared" si="16"/>
        <v>0</v>
      </c>
      <c r="X259" s="1177"/>
      <c r="Y259" s="1177">
        <f t="shared" si="16"/>
        <v>0</v>
      </c>
      <c r="Z259" s="1177"/>
      <c r="AA259" s="1177">
        <f>SUBTOTAL(9,AA250:AA253)</f>
        <v>0</v>
      </c>
      <c r="AB259" s="1177"/>
      <c r="AC259" s="1177">
        <f t="shared" si="16"/>
        <v>0</v>
      </c>
      <c r="AD259" s="1177"/>
      <c r="AE259" s="1177">
        <f t="shared" si="16"/>
        <v>0</v>
      </c>
      <c r="AF259" s="1177"/>
      <c r="AG259" s="1177">
        <f t="shared" si="16"/>
        <v>0</v>
      </c>
      <c r="AH259" s="1177"/>
      <c r="AI259" s="1177">
        <f t="shared" si="16"/>
        <v>0</v>
      </c>
      <c r="AJ259" s="1178"/>
      <c r="AK259" s="1178">
        <f t="shared" si="14"/>
        <v>0</v>
      </c>
      <c r="AL259" s="1179">
        <f t="shared" si="14"/>
        <v>0</v>
      </c>
    </row>
    <row r="260" spans="1:38" ht="18" outlineLevel="1" x14ac:dyDescent="0.35">
      <c r="A260" s="1180" t="s">
        <v>1464</v>
      </c>
      <c r="B260" s="1181"/>
      <c r="C260" s="1182"/>
      <c r="D260" s="1183"/>
      <c r="E260" s="1184"/>
      <c r="F260" s="1185"/>
      <c r="G260" s="1185"/>
      <c r="H260" s="1185"/>
      <c r="I260" s="1185"/>
      <c r="J260" s="1185"/>
      <c r="K260" s="1185"/>
      <c r="L260" s="1185"/>
      <c r="M260" s="1185"/>
      <c r="N260" s="1185"/>
      <c r="O260" s="1185"/>
      <c r="P260" s="1185"/>
      <c r="Q260" s="1185"/>
      <c r="R260" s="1185"/>
      <c r="S260" s="1185"/>
      <c r="T260" s="1185"/>
      <c r="U260" s="1185"/>
      <c r="V260" s="1185"/>
      <c r="W260" s="1185"/>
      <c r="X260" s="1185"/>
      <c r="Y260" s="1185"/>
      <c r="Z260" s="1185"/>
      <c r="AA260" s="1185"/>
      <c r="AB260" s="1185"/>
      <c r="AC260" s="1185"/>
      <c r="AD260" s="1185"/>
      <c r="AE260" s="1185"/>
      <c r="AF260" s="1185"/>
      <c r="AG260" s="1185"/>
      <c r="AH260" s="1185"/>
      <c r="AI260" s="1185"/>
      <c r="AJ260" s="1186"/>
      <c r="AK260" s="1186">
        <f t="shared" si="14"/>
        <v>0</v>
      </c>
      <c r="AL260" s="1187">
        <f t="shared" si="14"/>
        <v>0</v>
      </c>
    </row>
    <row r="261" spans="1:38" hidden="1" outlineLevel="2" x14ac:dyDescent="0.3">
      <c r="A261" s="1188"/>
      <c r="B261" s="1189"/>
      <c r="C261" s="1190"/>
      <c r="D261" s="1191"/>
      <c r="E261" s="1192"/>
      <c r="F261" s="1193"/>
      <c r="G261" s="1193"/>
      <c r="H261" s="1193"/>
      <c r="I261" s="1193"/>
      <c r="J261" s="1193"/>
      <c r="K261" s="1193"/>
      <c r="L261" s="1193"/>
      <c r="M261" s="1193"/>
      <c r="N261" s="1193"/>
      <c r="O261" s="1193"/>
      <c r="P261" s="1193"/>
      <c r="Q261" s="1193"/>
      <c r="R261" s="1193"/>
      <c r="S261" s="1193"/>
      <c r="T261" s="1193"/>
      <c r="U261" s="1193"/>
      <c r="V261" s="1193"/>
      <c r="W261" s="1193"/>
      <c r="X261" s="1193"/>
      <c r="Y261" s="1193"/>
      <c r="Z261" s="1193"/>
      <c r="AA261" s="1193"/>
      <c r="AB261" s="1193"/>
      <c r="AC261" s="1193"/>
      <c r="AD261" s="1193"/>
      <c r="AE261" s="1193"/>
      <c r="AF261" s="1193"/>
      <c r="AG261" s="1193"/>
      <c r="AH261" s="1193"/>
      <c r="AI261" s="1193"/>
      <c r="AJ261" s="1194"/>
      <c r="AK261" s="1194">
        <f t="shared" si="14"/>
        <v>0</v>
      </c>
      <c r="AL261" s="1195">
        <f t="shared" si="14"/>
        <v>0</v>
      </c>
    </row>
    <row r="262" spans="1:38" hidden="1" outlineLevel="2" x14ac:dyDescent="0.3">
      <c r="A262" s="1188"/>
      <c r="B262" s="1189"/>
      <c r="C262" s="1190"/>
      <c r="D262" s="1191"/>
      <c r="E262" s="1192"/>
      <c r="F262" s="1193"/>
      <c r="G262" s="1193"/>
      <c r="H262" s="1193"/>
      <c r="I262" s="1193"/>
      <c r="J262" s="1193"/>
      <c r="K262" s="1193"/>
      <c r="L262" s="1193"/>
      <c r="M262" s="1193"/>
      <c r="N262" s="1193"/>
      <c r="O262" s="1193"/>
      <c r="P262" s="1193"/>
      <c r="Q262" s="1193"/>
      <c r="R262" s="1193"/>
      <c r="S262" s="1193"/>
      <c r="T262" s="1193"/>
      <c r="U262" s="1193"/>
      <c r="V262" s="1193"/>
      <c r="W262" s="1193"/>
      <c r="X262" s="1193"/>
      <c r="Y262" s="1193"/>
      <c r="Z262" s="1193"/>
      <c r="AA262" s="1193"/>
      <c r="AB262" s="1193"/>
      <c r="AC262" s="1193"/>
      <c r="AD262" s="1193"/>
      <c r="AE262" s="1193"/>
      <c r="AF262" s="1193"/>
      <c r="AG262" s="1193"/>
      <c r="AH262" s="1193"/>
      <c r="AI262" s="1193"/>
      <c r="AJ262" s="1194"/>
      <c r="AK262" s="1194">
        <f t="shared" si="14"/>
        <v>0</v>
      </c>
      <c r="AL262" s="1195">
        <f t="shared" si="14"/>
        <v>0</v>
      </c>
    </row>
    <row r="263" spans="1:38" hidden="1" outlineLevel="2" x14ac:dyDescent="0.3">
      <c r="A263" s="1188"/>
      <c r="B263" s="1196"/>
      <c r="C263" s="1197"/>
      <c r="D263" s="1198"/>
      <c r="E263" s="1199"/>
      <c r="F263" s="1200"/>
      <c r="G263" s="1200"/>
      <c r="H263" s="1200"/>
      <c r="I263" s="1200"/>
      <c r="J263" s="1200"/>
      <c r="K263" s="1200"/>
      <c r="L263" s="1200"/>
      <c r="M263" s="1200"/>
      <c r="N263" s="1200"/>
      <c r="O263" s="1200"/>
      <c r="P263" s="1200"/>
      <c r="Q263" s="1200"/>
      <c r="R263" s="1200"/>
      <c r="S263" s="1200"/>
      <c r="T263" s="1200"/>
      <c r="U263" s="1200"/>
      <c r="V263" s="1200"/>
      <c r="W263" s="1200"/>
      <c r="X263" s="1200"/>
      <c r="Y263" s="1200"/>
      <c r="Z263" s="1200"/>
      <c r="AA263" s="1200"/>
      <c r="AB263" s="1200"/>
      <c r="AC263" s="1200"/>
      <c r="AD263" s="1200"/>
      <c r="AE263" s="1200"/>
      <c r="AF263" s="1200"/>
      <c r="AG263" s="1200"/>
      <c r="AH263" s="1200"/>
      <c r="AI263" s="1200"/>
      <c r="AJ263" s="1201"/>
      <c r="AK263" s="1201">
        <f t="shared" si="14"/>
        <v>0</v>
      </c>
      <c r="AL263" s="1202">
        <f t="shared" si="14"/>
        <v>0</v>
      </c>
    </row>
    <row r="264" spans="1:38" hidden="1" outlineLevel="2" x14ac:dyDescent="0.3">
      <c r="A264" s="1188"/>
      <c r="B264" s="1196"/>
      <c r="C264" s="1197"/>
      <c r="D264" s="1198"/>
      <c r="E264" s="1199"/>
      <c r="F264" s="1200"/>
      <c r="G264" s="1200"/>
      <c r="H264" s="1200"/>
      <c r="I264" s="1200"/>
      <c r="J264" s="1200"/>
      <c r="K264" s="1200"/>
      <c r="L264" s="1200"/>
      <c r="M264" s="1200"/>
      <c r="N264" s="1200"/>
      <c r="O264" s="1200"/>
      <c r="P264" s="1200"/>
      <c r="Q264" s="1200"/>
      <c r="R264" s="1200"/>
      <c r="S264" s="1200"/>
      <c r="T264" s="1200"/>
      <c r="U264" s="1200"/>
      <c r="V264" s="1200"/>
      <c r="W264" s="1200"/>
      <c r="X264" s="1200"/>
      <c r="Y264" s="1200"/>
      <c r="Z264" s="1200"/>
      <c r="AA264" s="1200"/>
      <c r="AB264" s="1200"/>
      <c r="AC264" s="1200"/>
      <c r="AD264" s="1200"/>
      <c r="AE264" s="1200"/>
      <c r="AF264" s="1200"/>
      <c r="AG264" s="1200"/>
      <c r="AH264" s="1200"/>
      <c r="AI264" s="1200"/>
      <c r="AJ264" s="1201"/>
      <c r="AK264" s="1201">
        <f t="shared" si="14"/>
        <v>0</v>
      </c>
      <c r="AL264" s="1202">
        <f t="shared" si="14"/>
        <v>0</v>
      </c>
    </row>
    <row r="265" spans="1:38" hidden="1" outlineLevel="2" x14ac:dyDescent="0.3">
      <c r="A265" s="1188"/>
      <c r="B265" s="1196"/>
      <c r="C265" s="1197"/>
      <c r="D265" s="1198"/>
      <c r="E265" s="1199"/>
      <c r="F265" s="1200"/>
      <c r="G265" s="1200"/>
      <c r="H265" s="1200"/>
      <c r="I265" s="1200"/>
      <c r="J265" s="1200"/>
      <c r="K265" s="1200"/>
      <c r="L265" s="1200"/>
      <c r="M265" s="1200"/>
      <c r="N265" s="1200"/>
      <c r="O265" s="1200"/>
      <c r="P265" s="1200"/>
      <c r="Q265" s="1200"/>
      <c r="R265" s="1200"/>
      <c r="S265" s="1200"/>
      <c r="T265" s="1200"/>
      <c r="U265" s="1200"/>
      <c r="V265" s="1200"/>
      <c r="W265" s="1200"/>
      <c r="X265" s="1200"/>
      <c r="Y265" s="1200"/>
      <c r="Z265" s="1200"/>
      <c r="AA265" s="1200"/>
      <c r="AB265" s="1200"/>
      <c r="AC265" s="1200"/>
      <c r="AD265" s="1200"/>
      <c r="AE265" s="1200"/>
      <c r="AF265" s="1200"/>
      <c r="AG265" s="1200"/>
      <c r="AH265" s="1200"/>
      <c r="AI265" s="1200"/>
      <c r="AJ265" s="1201"/>
      <c r="AK265" s="1201">
        <f t="shared" si="14"/>
        <v>0</v>
      </c>
      <c r="AL265" s="1202">
        <f t="shared" si="14"/>
        <v>0</v>
      </c>
    </row>
    <row r="266" spans="1:38" hidden="1" outlineLevel="2" x14ac:dyDescent="0.3">
      <c r="A266" s="1188"/>
      <c r="B266" s="1196"/>
      <c r="C266" s="1197"/>
      <c r="D266" s="1198"/>
      <c r="E266" s="1199"/>
      <c r="F266" s="1200"/>
      <c r="G266" s="1200"/>
      <c r="H266" s="1200"/>
      <c r="I266" s="1200"/>
      <c r="J266" s="1200"/>
      <c r="K266" s="1200"/>
      <c r="L266" s="1200"/>
      <c r="M266" s="1200"/>
      <c r="N266" s="1200"/>
      <c r="O266" s="1200"/>
      <c r="P266" s="1200"/>
      <c r="Q266" s="1200"/>
      <c r="R266" s="1200"/>
      <c r="S266" s="1200"/>
      <c r="T266" s="1200"/>
      <c r="U266" s="1200"/>
      <c r="V266" s="1200"/>
      <c r="W266" s="1200"/>
      <c r="X266" s="1200"/>
      <c r="Y266" s="1200"/>
      <c r="Z266" s="1200"/>
      <c r="AA266" s="1200"/>
      <c r="AB266" s="1200"/>
      <c r="AC266" s="1200"/>
      <c r="AD266" s="1200"/>
      <c r="AE266" s="1200"/>
      <c r="AF266" s="1200"/>
      <c r="AG266" s="1200"/>
      <c r="AH266" s="1200"/>
      <c r="AI266" s="1200"/>
      <c r="AJ266" s="1201"/>
      <c r="AK266" s="1201">
        <f t="shared" si="14"/>
        <v>0</v>
      </c>
      <c r="AL266" s="1202">
        <f t="shared" si="14"/>
        <v>0</v>
      </c>
    </row>
    <row r="267" spans="1:38" hidden="1" outlineLevel="2" x14ac:dyDescent="0.3">
      <c r="A267" s="1188"/>
      <c r="B267" s="1196"/>
      <c r="C267" s="1197"/>
      <c r="D267" s="1198"/>
      <c r="E267" s="1199"/>
      <c r="F267" s="1200"/>
      <c r="G267" s="1200"/>
      <c r="H267" s="1200"/>
      <c r="I267" s="1200"/>
      <c r="J267" s="1200"/>
      <c r="K267" s="1200"/>
      <c r="L267" s="1200"/>
      <c r="M267" s="1200"/>
      <c r="N267" s="1200"/>
      <c r="O267" s="1200"/>
      <c r="P267" s="1200"/>
      <c r="Q267" s="1200"/>
      <c r="R267" s="1200"/>
      <c r="S267" s="1200"/>
      <c r="T267" s="1200"/>
      <c r="U267" s="1200"/>
      <c r="V267" s="1200"/>
      <c r="W267" s="1200"/>
      <c r="X267" s="1200"/>
      <c r="Y267" s="1200"/>
      <c r="Z267" s="1200"/>
      <c r="AA267" s="1200"/>
      <c r="AB267" s="1200"/>
      <c r="AC267" s="1200"/>
      <c r="AD267" s="1200"/>
      <c r="AE267" s="1200"/>
      <c r="AF267" s="1200"/>
      <c r="AG267" s="1200"/>
      <c r="AH267" s="1200"/>
      <c r="AI267" s="1200"/>
      <c r="AJ267" s="1201"/>
      <c r="AK267" s="1201">
        <f t="shared" si="14"/>
        <v>0</v>
      </c>
      <c r="AL267" s="1202">
        <f t="shared" si="14"/>
        <v>0</v>
      </c>
    </row>
    <row r="268" spans="1:38" ht="15" outlineLevel="1" collapsed="1" thickBot="1" x14ac:dyDescent="0.35">
      <c r="A268" s="1188"/>
      <c r="B268" s="1203" t="s">
        <v>550</v>
      </c>
      <c r="C268" s="1204"/>
      <c r="D268" s="1205"/>
      <c r="E268" s="1206">
        <f>SUBTOTAL(9,E260:E262)</f>
        <v>0</v>
      </c>
      <c r="F268" s="1207"/>
      <c r="G268" s="1207">
        <f>SUBTOTAL(9,G260:G262)</f>
        <v>0</v>
      </c>
      <c r="H268" s="1207"/>
      <c r="I268" s="1207">
        <f>SUBTOTAL(9,I260:I262)</f>
        <v>0</v>
      </c>
      <c r="J268" s="1207"/>
      <c r="K268" s="1207">
        <f>SUBTOTAL(9,K260:K262)</f>
        <v>0</v>
      </c>
      <c r="L268" s="1207"/>
      <c r="M268" s="1207">
        <f>SUBTOTAL(9,M260:M262)</f>
        <v>0</v>
      </c>
      <c r="N268" s="1207"/>
      <c r="O268" s="1207">
        <f>SUBTOTAL(9,O260:O262)</f>
        <v>0</v>
      </c>
      <c r="P268" s="1207"/>
      <c r="Q268" s="1207">
        <f>SUBTOTAL(9,Q260:Q262)</f>
        <v>0</v>
      </c>
      <c r="R268" s="1207"/>
      <c r="S268" s="1207">
        <f>SUBTOTAL(9,S260:S262)</f>
        <v>0</v>
      </c>
      <c r="T268" s="1207"/>
      <c r="U268" s="1207">
        <f>SUBTOTAL(9,U260:U262)</f>
        <v>0</v>
      </c>
      <c r="V268" s="1207"/>
      <c r="W268" s="1207">
        <f>SUBTOTAL(9,W260:W262)</f>
        <v>0</v>
      </c>
      <c r="X268" s="1207"/>
      <c r="Y268" s="1207">
        <f>SUBTOTAL(9,Y260:Y262)</f>
        <v>0</v>
      </c>
      <c r="Z268" s="1207"/>
      <c r="AA268" s="1207">
        <f>SUBTOTAL(9,AA260:AA262)</f>
        <v>0</v>
      </c>
      <c r="AB268" s="1207"/>
      <c r="AC268" s="1207">
        <f>SUBTOTAL(9,AC260:AC262)</f>
        <v>0</v>
      </c>
      <c r="AD268" s="1207"/>
      <c r="AE268" s="1207">
        <f>SUBTOTAL(9,AE260:AE262)</f>
        <v>0</v>
      </c>
      <c r="AF268" s="1207"/>
      <c r="AG268" s="1207">
        <f>SUBTOTAL(9,AG260:AG262)</f>
        <v>0</v>
      </c>
      <c r="AH268" s="1207"/>
      <c r="AI268" s="1207">
        <f>SUBTOTAL(9,AI260:AI262)</f>
        <v>0</v>
      </c>
      <c r="AJ268" s="1208"/>
      <c r="AK268" s="1208">
        <f t="shared" si="14"/>
        <v>0</v>
      </c>
      <c r="AL268" s="1209">
        <f t="shared" si="14"/>
        <v>0</v>
      </c>
    </row>
    <row r="269" spans="1:38" x14ac:dyDescent="0.3">
      <c r="A269" s="98"/>
      <c r="B269" s="660"/>
      <c r="C269" s="660"/>
      <c r="D269" s="660"/>
      <c r="E269" s="941">
        <f>SUM(E268,E259,E248)</f>
        <v>0</v>
      </c>
      <c r="F269" s="941"/>
      <c r="G269" s="941">
        <f>SUM(G268,G259,G248)</f>
        <v>0</v>
      </c>
      <c r="H269" s="941"/>
      <c r="I269" s="941">
        <f>SUM(I268,I259,I248)</f>
        <v>0</v>
      </c>
      <c r="J269" s="941"/>
      <c r="K269" s="941">
        <v>9600</v>
      </c>
      <c r="L269" s="941"/>
      <c r="M269" s="941">
        <f>SUM(M268,M259,M248)</f>
        <v>0</v>
      </c>
      <c r="N269" s="941"/>
      <c r="O269" s="941">
        <f>SUM(O268,O259,O248)</f>
        <v>0</v>
      </c>
      <c r="P269" s="941"/>
      <c r="Q269" s="941">
        <f>SUM(Q268,Q259,Q248)</f>
        <v>0</v>
      </c>
      <c r="R269" s="941"/>
      <c r="S269" s="941">
        <f>SUM(S268,S259,S248)</f>
        <v>0</v>
      </c>
      <c r="T269" s="941"/>
      <c r="U269" s="941">
        <f>SUM(U268,U259,U248)</f>
        <v>0</v>
      </c>
      <c r="V269" s="941"/>
      <c r="W269" s="941">
        <f>SUM(W268,W259,W248)</f>
        <v>0</v>
      </c>
      <c r="X269" s="941"/>
      <c r="Y269" s="941">
        <f>SUM(Y268,Y259,Y248)</f>
        <v>0</v>
      </c>
      <c r="Z269" s="941"/>
      <c r="AA269" s="941">
        <f>SUM(AA268,AA259,AA248)</f>
        <v>0</v>
      </c>
      <c r="AB269" s="941"/>
      <c r="AC269" s="941">
        <f>SUM(AC268,AC259,AC248)</f>
        <v>0</v>
      </c>
      <c r="AD269" s="941"/>
      <c r="AE269" s="941">
        <f>SUM(AE268,AE259,AE248)</f>
        <v>0</v>
      </c>
      <c r="AF269" s="941"/>
      <c r="AG269" s="941">
        <f>SUM(AG268,AG259,AG248)</f>
        <v>0</v>
      </c>
      <c r="AH269" s="941"/>
      <c r="AI269" s="941">
        <f>SUM(AI268,AI259,AI248)</f>
        <v>0</v>
      </c>
      <c r="AJ269" s="941"/>
      <c r="AK269" s="941"/>
      <c r="AL269" s="941">
        <f>SUM(K269:AI269)-SUM(E269:I269)</f>
        <v>9600</v>
      </c>
    </row>
    <row r="271" spans="1:38" ht="18" x14ac:dyDescent="0.3">
      <c r="A271" s="1110" t="s">
        <v>1469</v>
      </c>
      <c r="B271" s="1111"/>
      <c r="C271" s="1111"/>
      <c r="D271" s="1111"/>
      <c r="E271" s="1112"/>
      <c r="F271" s="1112"/>
      <c r="G271" s="660"/>
      <c r="H271" s="660"/>
      <c r="I271" s="660"/>
      <c r="J271" s="660"/>
      <c r="K271" s="660"/>
      <c r="L271" s="660"/>
      <c r="M271" s="660"/>
      <c r="N271" s="660"/>
      <c r="O271" s="660"/>
      <c r="P271" s="660"/>
      <c r="Q271" s="660"/>
      <c r="R271" s="660"/>
      <c r="S271" s="660"/>
      <c r="T271" s="660"/>
      <c r="U271" s="660"/>
      <c r="V271" s="660"/>
      <c r="W271" s="660"/>
      <c r="X271" s="660"/>
      <c r="Y271" s="660"/>
      <c r="Z271" s="660"/>
      <c r="AA271" s="660"/>
      <c r="AB271" s="660"/>
      <c r="AC271" s="660"/>
      <c r="AD271" s="660"/>
      <c r="AE271" s="660"/>
      <c r="AF271" s="660"/>
      <c r="AG271" s="660"/>
      <c r="AH271" s="660"/>
      <c r="AI271" s="660"/>
      <c r="AJ271" s="660"/>
      <c r="AK271" s="660"/>
    </row>
    <row r="272" spans="1:38" ht="15" thickBot="1" x14ac:dyDescent="0.35">
      <c r="A272" s="39"/>
      <c r="B272" s="1113"/>
      <c r="C272" s="1113"/>
      <c r="D272" s="1114" t="s">
        <v>1407</v>
      </c>
      <c r="E272" s="1115" t="s">
        <v>69</v>
      </c>
      <c r="F272" s="1116" t="s">
        <v>8</v>
      </c>
      <c r="G272" s="1115" t="s">
        <v>83</v>
      </c>
      <c r="H272" s="1116" t="s">
        <v>8</v>
      </c>
      <c r="I272" s="1115" t="s">
        <v>90</v>
      </c>
      <c r="J272" s="1116" t="s">
        <v>8</v>
      </c>
      <c r="K272" s="1117" t="s">
        <v>134</v>
      </c>
      <c r="L272" s="1118" t="s">
        <v>8</v>
      </c>
      <c r="M272" s="1117" t="s">
        <v>136</v>
      </c>
      <c r="N272" s="1118" t="s">
        <v>8</v>
      </c>
      <c r="O272" s="1117" t="s">
        <v>728</v>
      </c>
      <c r="P272" s="1118" t="s">
        <v>8</v>
      </c>
      <c r="Q272" s="1117" t="s">
        <v>266</v>
      </c>
      <c r="R272" s="1118" t="s">
        <v>8</v>
      </c>
      <c r="S272" s="1117" t="s">
        <v>292</v>
      </c>
      <c r="T272" s="1118" t="s">
        <v>8</v>
      </c>
      <c r="U272" s="1117" t="s">
        <v>335</v>
      </c>
      <c r="V272" s="1118" t="s">
        <v>8</v>
      </c>
      <c r="W272" s="1117" t="s">
        <v>346</v>
      </c>
      <c r="X272" s="1118" t="s">
        <v>8</v>
      </c>
      <c r="Y272" s="1117" t="s">
        <v>357</v>
      </c>
      <c r="Z272" s="1118" t="s">
        <v>8</v>
      </c>
      <c r="AA272" s="1117" t="s">
        <v>364</v>
      </c>
      <c r="AB272" s="1118" t="s">
        <v>8</v>
      </c>
      <c r="AC272" s="1117" t="s">
        <v>376</v>
      </c>
      <c r="AD272" s="1118" t="s">
        <v>8</v>
      </c>
      <c r="AE272" s="1117" t="s">
        <v>386</v>
      </c>
      <c r="AF272" s="1118" t="s">
        <v>8</v>
      </c>
      <c r="AG272" s="1117" t="s">
        <v>398</v>
      </c>
      <c r="AH272" s="1118" t="s">
        <v>8</v>
      </c>
      <c r="AI272" s="1117" t="s">
        <v>424</v>
      </c>
      <c r="AJ272" s="1119" t="s">
        <v>8</v>
      </c>
      <c r="AK272" s="1120" t="s">
        <v>1404</v>
      </c>
      <c r="AL272" s="1121" t="s">
        <v>1405</v>
      </c>
    </row>
    <row r="273" spans="1:38" ht="18" outlineLevel="1" x14ac:dyDescent="0.35">
      <c r="A273" s="1122" t="s">
        <v>1223</v>
      </c>
      <c r="B273" s="1123" t="s">
        <v>625</v>
      </c>
      <c r="C273" s="1124" t="s">
        <v>1408</v>
      </c>
      <c r="D273" s="1125" t="s">
        <v>1409</v>
      </c>
      <c r="E273" s="1126"/>
      <c r="F273" s="1127"/>
      <c r="G273" s="1127"/>
      <c r="H273" s="1127"/>
      <c r="I273" s="1127"/>
      <c r="J273" s="1127"/>
      <c r="K273" s="1127"/>
      <c r="L273" s="1127"/>
      <c r="M273" s="1127"/>
      <c r="N273" s="1127"/>
      <c r="O273" s="1127"/>
      <c r="P273" s="1127"/>
      <c r="Q273" s="1127"/>
      <c r="R273" s="1127"/>
      <c r="S273" s="1127"/>
      <c r="T273" s="1127"/>
      <c r="U273" s="1127"/>
      <c r="V273" s="1127"/>
      <c r="W273" s="1127"/>
      <c r="X273" s="1127"/>
      <c r="Y273" s="1127"/>
      <c r="Z273" s="1127"/>
      <c r="AA273" s="1127"/>
      <c r="AB273" s="1127"/>
      <c r="AC273" s="1127"/>
      <c r="AD273" s="1127"/>
      <c r="AE273" s="1127"/>
      <c r="AF273" s="1127"/>
      <c r="AG273" s="1127"/>
      <c r="AH273" s="1127"/>
      <c r="AI273" s="1127"/>
      <c r="AJ273" s="1128"/>
      <c r="AK273" s="1128"/>
      <c r="AL273" s="1129"/>
    </row>
    <row r="274" spans="1:38" hidden="1" outlineLevel="2" x14ac:dyDescent="0.3">
      <c r="A274" s="1130"/>
      <c r="B274" s="1131"/>
      <c r="C274" s="1132"/>
      <c r="D274" s="1133"/>
      <c r="E274" s="1134"/>
      <c r="F274" s="1135"/>
      <c r="G274" s="1135"/>
      <c r="H274" s="1135"/>
      <c r="I274" s="1135"/>
      <c r="J274" s="1135"/>
      <c r="K274" s="1135"/>
      <c r="L274" s="1135"/>
      <c r="M274" s="1135"/>
      <c r="N274" s="1135"/>
      <c r="O274" s="1135"/>
      <c r="P274" s="1135"/>
      <c r="Q274" s="1135"/>
      <c r="R274" s="1135"/>
      <c r="S274" s="1135"/>
      <c r="T274" s="1135"/>
      <c r="U274" s="1135"/>
      <c r="V274" s="1135"/>
      <c r="W274" s="1135"/>
      <c r="X274" s="1135"/>
      <c r="Y274" s="1135"/>
      <c r="Z274" s="1135"/>
      <c r="AA274" s="1135"/>
      <c r="AB274" s="1135"/>
      <c r="AC274" s="1135"/>
      <c r="AD274" s="1135"/>
      <c r="AE274" s="1135"/>
      <c r="AF274" s="1135"/>
      <c r="AG274" s="1135"/>
      <c r="AH274" s="1135"/>
      <c r="AI274" s="1135"/>
      <c r="AJ274" s="1136"/>
      <c r="AK274" s="1136"/>
      <c r="AL274" s="1137"/>
    </row>
    <row r="275" spans="1:38" hidden="1" outlineLevel="2" x14ac:dyDescent="0.3">
      <c r="A275" s="1130"/>
      <c r="B275" s="1131"/>
      <c r="C275" s="1132"/>
      <c r="D275" s="1133"/>
      <c r="E275" s="1134"/>
      <c r="F275" s="1135"/>
      <c r="G275" s="1135"/>
      <c r="H275" s="1135"/>
      <c r="I275" s="1135"/>
      <c r="J275" s="1135"/>
      <c r="K275" s="1135"/>
      <c r="L275" s="1135"/>
      <c r="M275" s="1135"/>
      <c r="N275" s="1135"/>
      <c r="O275" s="1135"/>
      <c r="P275" s="1135"/>
      <c r="Q275" s="1135"/>
      <c r="R275" s="1135"/>
      <c r="S275" s="1135"/>
      <c r="T275" s="1135"/>
      <c r="U275" s="1135"/>
      <c r="V275" s="1135"/>
      <c r="W275" s="1135"/>
      <c r="X275" s="1135"/>
      <c r="Y275" s="1135"/>
      <c r="Z275" s="1135"/>
      <c r="AA275" s="1135"/>
      <c r="AB275" s="1135"/>
      <c r="AC275" s="1135"/>
      <c r="AD275" s="1135"/>
      <c r="AE275" s="1135"/>
      <c r="AF275" s="1135"/>
      <c r="AG275" s="1135"/>
      <c r="AH275" s="1135"/>
      <c r="AI275" s="1135"/>
      <c r="AJ275" s="1136"/>
      <c r="AK275" s="1137">
        <f t="shared" ref="AK275:AL306" si="17">SUM(E275,G275,I275)-SUM(K275,M275,O275,Q275,S275,U275,W275,Y275,AA275,AC275,AE275,AG275,AI275)</f>
        <v>0</v>
      </c>
      <c r="AL275" s="1137">
        <f t="shared" si="17"/>
        <v>0</v>
      </c>
    </row>
    <row r="276" spans="1:38" hidden="1" outlineLevel="2" x14ac:dyDescent="0.3">
      <c r="A276" s="1130"/>
      <c r="B276" s="1131"/>
      <c r="C276" s="1132"/>
      <c r="D276" s="1133"/>
      <c r="E276" s="1134"/>
      <c r="F276" s="1135"/>
      <c r="G276" s="1135"/>
      <c r="H276" s="1135"/>
      <c r="I276" s="1135"/>
      <c r="J276" s="1135"/>
      <c r="K276" s="1135"/>
      <c r="L276" s="1135"/>
      <c r="M276" s="1135"/>
      <c r="N276" s="1135"/>
      <c r="O276" s="1135"/>
      <c r="P276" s="1135"/>
      <c r="Q276" s="1135"/>
      <c r="R276" s="1135"/>
      <c r="S276" s="1135"/>
      <c r="T276" s="1135"/>
      <c r="U276" s="1135"/>
      <c r="V276" s="1135"/>
      <c r="W276" s="1135"/>
      <c r="X276" s="1135"/>
      <c r="Y276" s="1135"/>
      <c r="Z276" s="1135"/>
      <c r="AA276" s="1135"/>
      <c r="AB276" s="1135"/>
      <c r="AC276" s="1135"/>
      <c r="AD276" s="1135"/>
      <c r="AE276" s="1135"/>
      <c r="AF276" s="1135"/>
      <c r="AG276" s="1135"/>
      <c r="AH276" s="1135"/>
      <c r="AI276" s="1135"/>
      <c r="AJ276" s="1136"/>
      <c r="AK276" s="1137">
        <f t="shared" si="17"/>
        <v>0</v>
      </c>
      <c r="AL276" s="1137">
        <f t="shared" si="17"/>
        <v>0</v>
      </c>
    </row>
    <row r="277" spans="1:38" hidden="1" outlineLevel="2" x14ac:dyDescent="0.3">
      <c r="A277" s="1130"/>
      <c r="B277" s="1138"/>
      <c r="C277" s="1139"/>
      <c r="D277" s="1140"/>
      <c r="E277" s="1134"/>
      <c r="F277" s="1141"/>
      <c r="G277" s="1141"/>
      <c r="H277" s="1141"/>
      <c r="I277" s="1141"/>
      <c r="J277" s="1141"/>
      <c r="K277" s="1135"/>
      <c r="L277" s="1141"/>
      <c r="M277" s="1141"/>
      <c r="N277" s="1141"/>
      <c r="O277" s="1141"/>
      <c r="P277" s="1141"/>
      <c r="Q277" s="1141"/>
      <c r="R277" s="1141"/>
      <c r="S277" s="1141"/>
      <c r="T277" s="1141"/>
      <c r="U277" s="1135"/>
      <c r="V277" s="1141"/>
      <c r="W277" s="1141"/>
      <c r="X277" s="1141"/>
      <c r="Y277" s="1141"/>
      <c r="Z277" s="1141"/>
      <c r="AA277" s="1141"/>
      <c r="AB277" s="1141"/>
      <c r="AC277" s="1141"/>
      <c r="AD277" s="1141"/>
      <c r="AE277" s="1135"/>
      <c r="AF277" s="1141"/>
      <c r="AG277" s="1135"/>
      <c r="AH277" s="1141"/>
      <c r="AI277" s="1141"/>
      <c r="AJ277" s="1142"/>
      <c r="AK277" s="1137">
        <f t="shared" si="17"/>
        <v>0</v>
      </c>
      <c r="AL277" s="1137">
        <f t="shared" si="17"/>
        <v>0</v>
      </c>
    </row>
    <row r="278" spans="1:38" hidden="1" outlineLevel="2" x14ac:dyDescent="0.3">
      <c r="A278" s="1130"/>
      <c r="B278" s="1138"/>
      <c r="C278" s="1139"/>
      <c r="D278" s="1140"/>
      <c r="E278" s="1134"/>
      <c r="F278" s="1141"/>
      <c r="G278" s="1141"/>
      <c r="H278" s="1141"/>
      <c r="I278" s="1141"/>
      <c r="J278" s="1141"/>
      <c r="K278" s="1135"/>
      <c r="L278" s="1141"/>
      <c r="M278" s="1141"/>
      <c r="N278" s="1141"/>
      <c r="O278" s="1141"/>
      <c r="P278" s="1141"/>
      <c r="Q278" s="1141"/>
      <c r="R278" s="1141"/>
      <c r="S278" s="1141"/>
      <c r="T278" s="1141"/>
      <c r="U278" s="1135"/>
      <c r="V278" s="1141"/>
      <c r="W278" s="1141"/>
      <c r="X278" s="1141"/>
      <c r="Y278" s="1141"/>
      <c r="Z278" s="1141"/>
      <c r="AA278" s="1141"/>
      <c r="AB278" s="1141"/>
      <c r="AC278" s="1141"/>
      <c r="AD278" s="1141"/>
      <c r="AE278" s="1135"/>
      <c r="AF278" s="1141"/>
      <c r="AG278" s="1135"/>
      <c r="AH278" s="1141"/>
      <c r="AI278" s="1141"/>
      <c r="AJ278" s="1142"/>
      <c r="AK278" s="1137">
        <f t="shared" si="17"/>
        <v>0</v>
      </c>
      <c r="AL278" s="1137">
        <f t="shared" si="17"/>
        <v>0</v>
      </c>
    </row>
    <row r="279" spans="1:38" hidden="1" outlineLevel="2" x14ac:dyDescent="0.3">
      <c r="A279" s="1130"/>
      <c r="B279" s="1138"/>
      <c r="C279" s="1139"/>
      <c r="D279" s="1140"/>
      <c r="E279" s="1134"/>
      <c r="F279" s="1141"/>
      <c r="G279" s="1141"/>
      <c r="H279" s="1141"/>
      <c r="I279" s="1141"/>
      <c r="J279" s="1141"/>
      <c r="K279" s="1135"/>
      <c r="L279" s="1141"/>
      <c r="M279" s="1141"/>
      <c r="N279" s="1141"/>
      <c r="O279" s="1141"/>
      <c r="P279" s="1141"/>
      <c r="Q279" s="1141"/>
      <c r="R279" s="1141"/>
      <c r="S279" s="1141"/>
      <c r="T279" s="1141"/>
      <c r="U279" s="1135"/>
      <c r="V279" s="1141"/>
      <c r="W279" s="1141"/>
      <c r="X279" s="1141"/>
      <c r="Y279" s="1141"/>
      <c r="Z279" s="1141"/>
      <c r="AA279" s="1141"/>
      <c r="AB279" s="1141"/>
      <c r="AC279" s="1141"/>
      <c r="AD279" s="1141"/>
      <c r="AE279" s="1135"/>
      <c r="AF279" s="1141"/>
      <c r="AG279" s="1135"/>
      <c r="AH279" s="1141"/>
      <c r="AI279" s="1141"/>
      <c r="AJ279" s="1142"/>
      <c r="AK279" s="1137">
        <f t="shared" si="17"/>
        <v>0</v>
      </c>
      <c r="AL279" s="1137">
        <f t="shared" si="17"/>
        <v>0</v>
      </c>
    </row>
    <row r="280" spans="1:38" hidden="1" outlineLevel="2" x14ac:dyDescent="0.3">
      <c r="A280" s="1130"/>
      <c r="B280" s="1138"/>
      <c r="C280" s="1139"/>
      <c r="D280" s="1140"/>
      <c r="E280" s="1134"/>
      <c r="F280" s="1141"/>
      <c r="G280" s="1141"/>
      <c r="H280" s="1141"/>
      <c r="I280" s="1141"/>
      <c r="J280" s="1141"/>
      <c r="K280" s="1135"/>
      <c r="L280" s="1141"/>
      <c r="M280" s="1141"/>
      <c r="N280" s="1141"/>
      <c r="O280" s="1141"/>
      <c r="P280" s="1141"/>
      <c r="Q280" s="1141"/>
      <c r="R280" s="1141"/>
      <c r="S280" s="1141"/>
      <c r="T280" s="1141"/>
      <c r="U280" s="1135"/>
      <c r="V280" s="1141"/>
      <c r="W280" s="1141"/>
      <c r="X280" s="1141"/>
      <c r="Y280" s="1141"/>
      <c r="Z280" s="1141"/>
      <c r="AA280" s="1141"/>
      <c r="AB280" s="1141"/>
      <c r="AC280" s="1141"/>
      <c r="AD280" s="1141"/>
      <c r="AE280" s="1135"/>
      <c r="AF280" s="1141"/>
      <c r="AG280" s="1135"/>
      <c r="AH280" s="1141"/>
      <c r="AI280" s="1141"/>
      <c r="AJ280" s="1142"/>
      <c r="AK280" s="1137">
        <f t="shared" si="17"/>
        <v>0</v>
      </c>
      <c r="AL280" s="1137">
        <f t="shared" si="17"/>
        <v>0</v>
      </c>
    </row>
    <row r="281" spans="1:38" hidden="1" outlineLevel="2" x14ac:dyDescent="0.3">
      <c r="A281" s="1130"/>
      <c r="B281" s="1138"/>
      <c r="C281" s="1139"/>
      <c r="D281" s="1140"/>
      <c r="E281" s="1134"/>
      <c r="F281" s="1141"/>
      <c r="G281" s="1141"/>
      <c r="H281" s="1141"/>
      <c r="I281" s="1141"/>
      <c r="J281" s="1141"/>
      <c r="K281" s="1135"/>
      <c r="L281" s="1141"/>
      <c r="M281" s="1141"/>
      <c r="N281" s="1141"/>
      <c r="O281" s="1141"/>
      <c r="P281" s="1141"/>
      <c r="Q281" s="1141"/>
      <c r="R281" s="1141"/>
      <c r="S281" s="1141"/>
      <c r="T281" s="1141"/>
      <c r="U281" s="1135"/>
      <c r="V281" s="1141"/>
      <c r="W281" s="1141"/>
      <c r="X281" s="1141"/>
      <c r="Y281" s="1141"/>
      <c r="Z281" s="1141"/>
      <c r="AA281" s="1141"/>
      <c r="AB281" s="1141"/>
      <c r="AC281" s="1141"/>
      <c r="AD281" s="1141"/>
      <c r="AE281" s="1135"/>
      <c r="AF281" s="1141"/>
      <c r="AG281" s="1135"/>
      <c r="AH281" s="1141"/>
      <c r="AI281" s="1141"/>
      <c r="AJ281" s="1142"/>
      <c r="AK281" s="1137">
        <f t="shared" si="17"/>
        <v>0</v>
      </c>
      <c r="AL281" s="1137">
        <f t="shared" si="17"/>
        <v>0</v>
      </c>
    </row>
    <row r="282" spans="1:38" hidden="1" outlineLevel="2" x14ac:dyDescent="0.3">
      <c r="A282" s="1130"/>
      <c r="B282" s="1138"/>
      <c r="C282" s="1139"/>
      <c r="D282" s="1140"/>
      <c r="E282" s="1134"/>
      <c r="F282" s="1141"/>
      <c r="G282" s="1141"/>
      <c r="H282" s="1141"/>
      <c r="I282" s="1141"/>
      <c r="J282" s="1141"/>
      <c r="K282" s="1135"/>
      <c r="L282" s="1141"/>
      <c r="M282" s="1141"/>
      <c r="N282" s="1141"/>
      <c r="O282" s="1141"/>
      <c r="P282" s="1141"/>
      <c r="Q282" s="1141"/>
      <c r="R282" s="1141"/>
      <c r="S282" s="1141"/>
      <c r="T282" s="1141"/>
      <c r="U282" s="1135"/>
      <c r="V282" s="1141"/>
      <c r="W282" s="1141"/>
      <c r="X282" s="1141"/>
      <c r="Y282" s="1141"/>
      <c r="Z282" s="1141"/>
      <c r="AA282" s="1141"/>
      <c r="AB282" s="1141"/>
      <c r="AC282" s="1141"/>
      <c r="AD282" s="1141"/>
      <c r="AE282" s="1135"/>
      <c r="AF282" s="1141"/>
      <c r="AG282" s="1135"/>
      <c r="AH282" s="1141"/>
      <c r="AI282" s="1141"/>
      <c r="AJ282" s="1142"/>
      <c r="AK282" s="1137">
        <f t="shared" si="17"/>
        <v>0</v>
      </c>
      <c r="AL282" s="1137">
        <f t="shared" si="17"/>
        <v>0</v>
      </c>
    </row>
    <row r="283" spans="1:38" hidden="1" outlineLevel="2" x14ac:dyDescent="0.3">
      <c r="A283" s="1130"/>
      <c r="B283" s="1138"/>
      <c r="C283" s="1139"/>
      <c r="D283" s="1140"/>
      <c r="E283" s="1134"/>
      <c r="F283" s="1141"/>
      <c r="G283" s="1141"/>
      <c r="H283" s="1141"/>
      <c r="I283" s="1141"/>
      <c r="J283" s="1141"/>
      <c r="K283" s="1135"/>
      <c r="L283" s="1141"/>
      <c r="M283" s="1141"/>
      <c r="N283" s="1141"/>
      <c r="O283" s="1141"/>
      <c r="P283" s="1141"/>
      <c r="Q283" s="1141"/>
      <c r="R283" s="1141"/>
      <c r="S283" s="1141"/>
      <c r="T283" s="1141"/>
      <c r="U283" s="1135"/>
      <c r="V283" s="1141"/>
      <c r="W283" s="1141"/>
      <c r="X283" s="1141"/>
      <c r="Y283" s="1141"/>
      <c r="Z283" s="1141"/>
      <c r="AA283" s="1141"/>
      <c r="AB283" s="1141"/>
      <c r="AC283" s="1141"/>
      <c r="AD283" s="1141"/>
      <c r="AE283" s="1135"/>
      <c r="AF283" s="1141"/>
      <c r="AG283" s="1135"/>
      <c r="AH283" s="1141"/>
      <c r="AI283" s="1141"/>
      <c r="AJ283" s="1142"/>
      <c r="AK283" s="1137">
        <f t="shared" si="17"/>
        <v>0</v>
      </c>
      <c r="AL283" s="1137">
        <f t="shared" si="17"/>
        <v>0</v>
      </c>
    </row>
    <row r="284" spans="1:38" hidden="1" outlineLevel="2" x14ac:dyDescent="0.3">
      <c r="A284" s="1130"/>
      <c r="B284" s="1138"/>
      <c r="C284" s="1139"/>
      <c r="D284" s="1140"/>
      <c r="E284" s="1134"/>
      <c r="F284" s="1141"/>
      <c r="G284" s="1141"/>
      <c r="H284" s="1141"/>
      <c r="I284" s="1141"/>
      <c r="J284" s="1141"/>
      <c r="K284" s="1135"/>
      <c r="L284" s="1141"/>
      <c r="M284" s="1141"/>
      <c r="N284" s="1141"/>
      <c r="O284" s="1141"/>
      <c r="P284" s="1141"/>
      <c r="Q284" s="1141"/>
      <c r="R284" s="1141"/>
      <c r="S284" s="1141"/>
      <c r="T284" s="1141"/>
      <c r="U284" s="1135"/>
      <c r="V284" s="1141"/>
      <c r="W284" s="1141"/>
      <c r="X284" s="1141"/>
      <c r="Y284" s="1141"/>
      <c r="Z284" s="1141"/>
      <c r="AA284" s="1141"/>
      <c r="AB284" s="1141"/>
      <c r="AC284" s="1141"/>
      <c r="AD284" s="1141"/>
      <c r="AE284" s="1135"/>
      <c r="AF284" s="1141"/>
      <c r="AG284" s="1135"/>
      <c r="AH284" s="1141"/>
      <c r="AI284" s="1141"/>
      <c r="AJ284" s="1142"/>
      <c r="AK284" s="1137">
        <f t="shared" si="17"/>
        <v>0</v>
      </c>
      <c r="AL284" s="1137">
        <f t="shared" si="17"/>
        <v>0</v>
      </c>
    </row>
    <row r="285" spans="1:38" hidden="1" outlineLevel="2" x14ac:dyDescent="0.3">
      <c r="A285" s="1130"/>
      <c r="B285" s="1138"/>
      <c r="C285" s="1139"/>
      <c r="D285" s="1140"/>
      <c r="E285" s="1134"/>
      <c r="F285" s="1141"/>
      <c r="G285" s="1141"/>
      <c r="H285" s="1141"/>
      <c r="I285" s="1141"/>
      <c r="J285" s="1141"/>
      <c r="K285" s="1135"/>
      <c r="L285" s="1141"/>
      <c r="M285" s="1141"/>
      <c r="N285" s="1141"/>
      <c r="O285" s="1141"/>
      <c r="P285" s="1141"/>
      <c r="Q285" s="1141"/>
      <c r="R285" s="1141"/>
      <c r="S285" s="1141"/>
      <c r="T285" s="1141"/>
      <c r="U285" s="1135"/>
      <c r="V285" s="1141"/>
      <c r="W285" s="1141"/>
      <c r="X285" s="1141"/>
      <c r="Y285" s="1141"/>
      <c r="Z285" s="1141"/>
      <c r="AA285" s="1141"/>
      <c r="AB285" s="1141"/>
      <c r="AC285" s="1141"/>
      <c r="AD285" s="1141"/>
      <c r="AE285" s="1135"/>
      <c r="AF285" s="1141"/>
      <c r="AG285" s="1135"/>
      <c r="AH285" s="1141"/>
      <c r="AI285" s="1141"/>
      <c r="AJ285" s="1142"/>
      <c r="AK285" s="1137">
        <f t="shared" si="17"/>
        <v>0</v>
      </c>
      <c r="AL285" s="1137">
        <f t="shared" si="17"/>
        <v>0</v>
      </c>
    </row>
    <row r="286" spans="1:38" hidden="1" outlineLevel="2" x14ac:dyDescent="0.3">
      <c r="A286" s="1130"/>
      <c r="B286" s="1138"/>
      <c r="C286" s="1139"/>
      <c r="D286" s="1140"/>
      <c r="E286" s="1134"/>
      <c r="F286" s="1141"/>
      <c r="G286" s="1141"/>
      <c r="H286" s="1141"/>
      <c r="I286" s="1141"/>
      <c r="J286" s="1141"/>
      <c r="K286" s="1135"/>
      <c r="L286" s="1141"/>
      <c r="M286" s="1141"/>
      <c r="N286" s="1141"/>
      <c r="O286" s="1141"/>
      <c r="P286" s="1141"/>
      <c r="Q286" s="1141"/>
      <c r="R286" s="1141"/>
      <c r="S286" s="1141"/>
      <c r="T286" s="1141"/>
      <c r="U286" s="1135"/>
      <c r="V286" s="1141"/>
      <c r="W286" s="1141"/>
      <c r="X286" s="1141"/>
      <c r="Y286" s="1141"/>
      <c r="Z286" s="1141"/>
      <c r="AA286" s="1141"/>
      <c r="AB286" s="1141"/>
      <c r="AC286" s="1141"/>
      <c r="AD286" s="1141"/>
      <c r="AE286" s="1135"/>
      <c r="AF286" s="1141"/>
      <c r="AG286" s="1135"/>
      <c r="AH286" s="1141"/>
      <c r="AI286" s="1141"/>
      <c r="AJ286" s="1142"/>
      <c r="AK286" s="1137">
        <f t="shared" si="17"/>
        <v>0</v>
      </c>
      <c r="AL286" s="1137">
        <f t="shared" si="17"/>
        <v>0</v>
      </c>
    </row>
    <row r="287" spans="1:38" hidden="1" outlineLevel="2" x14ac:dyDescent="0.3">
      <c r="A287" s="1130"/>
      <c r="B287" s="1138"/>
      <c r="C287" s="1139"/>
      <c r="D287" s="1140"/>
      <c r="E287" s="1134"/>
      <c r="F287" s="1141"/>
      <c r="G287" s="1141"/>
      <c r="H287" s="1141"/>
      <c r="I287" s="1141"/>
      <c r="J287" s="1141"/>
      <c r="K287" s="1135"/>
      <c r="L287" s="1141"/>
      <c r="M287" s="1141"/>
      <c r="N287" s="1141"/>
      <c r="O287" s="1141"/>
      <c r="P287" s="1141"/>
      <c r="Q287" s="1141"/>
      <c r="R287" s="1141"/>
      <c r="S287" s="1141"/>
      <c r="T287" s="1141"/>
      <c r="U287" s="1135"/>
      <c r="V287" s="1141"/>
      <c r="W287" s="1141"/>
      <c r="X287" s="1141"/>
      <c r="Y287" s="1141"/>
      <c r="Z287" s="1141"/>
      <c r="AA287" s="1141"/>
      <c r="AB287" s="1141"/>
      <c r="AC287" s="1141"/>
      <c r="AD287" s="1141"/>
      <c r="AE287" s="1135"/>
      <c r="AF287" s="1141"/>
      <c r="AG287" s="1135"/>
      <c r="AH287" s="1141"/>
      <c r="AI287" s="1141"/>
      <c r="AJ287" s="1142"/>
      <c r="AK287" s="1137">
        <f t="shared" si="17"/>
        <v>0</v>
      </c>
      <c r="AL287" s="1137">
        <f t="shared" si="17"/>
        <v>0</v>
      </c>
    </row>
    <row r="288" spans="1:38" hidden="1" outlineLevel="2" x14ac:dyDescent="0.3">
      <c r="A288" s="1130"/>
      <c r="B288" s="1138"/>
      <c r="C288" s="1139"/>
      <c r="D288" s="1140"/>
      <c r="E288" s="1134"/>
      <c r="F288" s="1141"/>
      <c r="G288" s="1141"/>
      <c r="H288" s="1141"/>
      <c r="I288" s="1141"/>
      <c r="J288" s="1141"/>
      <c r="K288" s="1135"/>
      <c r="L288" s="1141"/>
      <c r="M288" s="1141"/>
      <c r="N288" s="1141"/>
      <c r="O288" s="1141"/>
      <c r="P288" s="1141"/>
      <c r="Q288" s="1141"/>
      <c r="R288" s="1141"/>
      <c r="S288" s="1141"/>
      <c r="T288" s="1141"/>
      <c r="U288" s="1135"/>
      <c r="V288" s="1141"/>
      <c r="W288" s="1141"/>
      <c r="X288" s="1141"/>
      <c r="Y288" s="1141"/>
      <c r="Z288" s="1141"/>
      <c r="AA288" s="1141"/>
      <c r="AB288" s="1141"/>
      <c r="AC288" s="1141"/>
      <c r="AD288" s="1141"/>
      <c r="AE288" s="1135"/>
      <c r="AF288" s="1141"/>
      <c r="AG288" s="1135"/>
      <c r="AH288" s="1141"/>
      <c r="AI288" s="1141"/>
      <c r="AJ288" s="1142"/>
      <c r="AK288" s="1137">
        <f t="shared" si="17"/>
        <v>0</v>
      </c>
      <c r="AL288" s="1137">
        <f t="shared" si="17"/>
        <v>0</v>
      </c>
    </row>
    <row r="289" spans="1:38" hidden="1" outlineLevel="2" x14ac:dyDescent="0.3">
      <c r="A289" s="1130"/>
      <c r="B289" s="1138"/>
      <c r="C289" s="1139"/>
      <c r="D289" s="1140"/>
      <c r="E289" s="1134"/>
      <c r="F289" s="1141"/>
      <c r="G289" s="1141"/>
      <c r="H289" s="1141"/>
      <c r="I289" s="1141"/>
      <c r="J289" s="1141"/>
      <c r="K289" s="1135"/>
      <c r="L289" s="1141"/>
      <c r="M289" s="1141"/>
      <c r="N289" s="1141"/>
      <c r="O289" s="1141"/>
      <c r="P289" s="1141"/>
      <c r="Q289" s="1141"/>
      <c r="R289" s="1141"/>
      <c r="S289" s="1141"/>
      <c r="T289" s="1141"/>
      <c r="U289" s="1135"/>
      <c r="V289" s="1141"/>
      <c r="W289" s="1141"/>
      <c r="X289" s="1141"/>
      <c r="Y289" s="1141"/>
      <c r="Z289" s="1141"/>
      <c r="AA289" s="1141"/>
      <c r="AB289" s="1141"/>
      <c r="AC289" s="1141"/>
      <c r="AD289" s="1141"/>
      <c r="AE289" s="1135"/>
      <c r="AF289" s="1141"/>
      <c r="AG289" s="1135"/>
      <c r="AH289" s="1141"/>
      <c r="AI289" s="1141"/>
      <c r="AJ289" s="1142"/>
      <c r="AK289" s="1137">
        <f t="shared" si="17"/>
        <v>0</v>
      </c>
      <c r="AL289" s="1137">
        <f t="shared" si="17"/>
        <v>0</v>
      </c>
    </row>
    <row r="290" spans="1:38" hidden="1" outlineLevel="2" x14ac:dyDescent="0.3">
      <c r="A290" s="1130"/>
      <c r="B290" s="1138"/>
      <c r="C290" s="1139"/>
      <c r="D290" s="1140"/>
      <c r="E290" s="1134"/>
      <c r="F290" s="1141"/>
      <c r="G290" s="1141"/>
      <c r="H290" s="1141"/>
      <c r="I290" s="1141"/>
      <c r="J290" s="1141"/>
      <c r="K290" s="1135"/>
      <c r="L290" s="1141"/>
      <c r="M290" s="1141"/>
      <c r="N290" s="1141"/>
      <c r="O290" s="1141"/>
      <c r="P290" s="1141"/>
      <c r="Q290" s="1141"/>
      <c r="R290" s="1141"/>
      <c r="S290" s="1141"/>
      <c r="T290" s="1141"/>
      <c r="U290" s="1135"/>
      <c r="V290" s="1141"/>
      <c r="W290" s="1141"/>
      <c r="X290" s="1141"/>
      <c r="Y290" s="1141"/>
      <c r="Z290" s="1141"/>
      <c r="AA290" s="1141"/>
      <c r="AB290" s="1141"/>
      <c r="AC290" s="1141"/>
      <c r="AD290" s="1141"/>
      <c r="AE290" s="1135"/>
      <c r="AF290" s="1141"/>
      <c r="AG290" s="1135"/>
      <c r="AH290" s="1141"/>
      <c r="AI290" s="1141"/>
      <c r="AJ290" s="1142"/>
      <c r="AK290" s="1137">
        <f t="shared" si="17"/>
        <v>0</v>
      </c>
      <c r="AL290" s="1137">
        <f t="shared" si="17"/>
        <v>0</v>
      </c>
    </row>
    <row r="291" spans="1:38" hidden="1" outlineLevel="2" x14ac:dyDescent="0.3">
      <c r="A291" s="1130"/>
      <c r="B291" s="1138"/>
      <c r="C291" s="1139"/>
      <c r="D291" s="1140"/>
      <c r="E291" s="1134"/>
      <c r="F291" s="1141"/>
      <c r="G291" s="1141"/>
      <c r="H291" s="1141"/>
      <c r="I291" s="1141"/>
      <c r="J291" s="1141"/>
      <c r="K291" s="1135"/>
      <c r="L291" s="1141"/>
      <c r="M291" s="1141"/>
      <c r="N291" s="1141"/>
      <c r="O291" s="1141"/>
      <c r="P291" s="1141"/>
      <c r="Q291" s="1141"/>
      <c r="R291" s="1141"/>
      <c r="S291" s="1141"/>
      <c r="T291" s="1141"/>
      <c r="U291" s="1135"/>
      <c r="V291" s="1141"/>
      <c r="W291" s="1141"/>
      <c r="X291" s="1141"/>
      <c r="Y291" s="1141"/>
      <c r="Z291" s="1141"/>
      <c r="AA291" s="1141"/>
      <c r="AB291" s="1141"/>
      <c r="AC291" s="1141"/>
      <c r="AD291" s="1141"/>
      <c r="AE291" s="1135"/>
      <c r="AF291" s="1141"/>
      <c r="AG291" s="1135"/>
      <c r="AH291" s="1141"/>
      <c r="AI291" s="1141"/>
      <c r="AJ291" s="1142"/>
      <c r="AK291" s="1137">
        <f t="shared" si="17"/>
        <v>0</v>
      </c>
      <c r="AL291" s="1137">
        <f t="shared" si="17"/>
        <v>0</v>
      </c>
    </row>
    <row r="292" spans="1:38" hidden="1" outlineLevel="2" x14ac:dyDescent="0.3">
      <c r="A292" s="1130"/>
      <c r="B292" s="1138"/>
      <c r="C292" s="1139"/>
      <c r="D292" s="1140"/>
      <c r="E292" s="1134"/>
      <c r="F292" s="1141"/>
      <c r="G292" s="1141"/>
      <c r="H292" s="1141"/>
      <c r="I292" s="1141"/>
      <c r="J292" s="1141"/>
      <c r="K292" s="1135"/>
      <c r="L292" s="1141"/>
      <c r="M292" s="1141"/>
      <c r="N292" s="1141"/>
      <c r="O292" s="1141"/>
      <c r="P292" s="1141"/>
      <c r="Q292" s="1141"/>
      <c r="R292" s="1141"/>
      <c r="S292" s="1141"/>
      <c r="T292" s="1141"/>
      <c r="U292" s="1135"/>
      <c r="V292" s="1141"/>
      <c r="W292" s="1141"/>
      <c r="X292" s="1141"/>
      <c r="Y292" s="1141"/>
      <c r="Z292" s="1141"/>
      <c r="AA292" s="1141"/>
      <c r="AB292" s="1141"/>
      <c r="AC292" s="1141"/>
      <c r="AD292" s="1141"/>
      <c r="AE292" s="1135"/>
      <c r="AF292" s="1141"/>
      <c r="AG292" s="1135"/>
      <c r="AH292" s="1141"/>
      <c r="AI292" s="1141"/>
      <c r="AJ292" s="1142"/>
      <c r="AK292" s="1137">
        <f t="shared" si="17"/>
        <v>0</v>
      </c>
      <c r="AL292" s="1137">
        <f t="shared" si="17"/>
        <v>0</v>
      </c>
    </row>
    <row r="293" spans="1:38" hidden="1" outlineLevel="2" x14ac:dyDescent="0.3">
      <c r="A293" s="1130"/>
      <c r="B293" s="1138"/>
      <c r="C293" s="1139"/>
      <c r="D293" s="1140"/>
      <c r="E293" s="1134"/>
      <c r="F293" s="1141"/>
      <c r="G293" s="1141"/>
      <c r="H293" s="1141"/>
      <c r="I293" s="1141"/>
      <c r="J293" s="1141"/>
      <c r="K293" s="1135"/>
      <c r="L293" s="1141"/>
      <c r="M293" s="1141"/>
      <c r="N293" s="1141"/>
      <c r="O293" s="1141"/>
      <c r="P293" s="1141"/>
      <c r="Q293" s="1141"/>
      <c r="R293" s="1141"/>
      <c r="S293" s="1141"/>
      <c r="T293" s="1141"/>
      <c r="U293" s="1135"/>
      <c r="V293" s="1141"/>
      <c r="W293" s="1141"/>
      <c r="X293" s="1141"/>
      <c r="Y293" s="1141"/>
      <c r="Z293" s="1141"/>
      <c r="AA293" s="1141"/>
      <c r="AB293" s="1141"/>
      <c r="AC293" s="1141"/>
      <c r="AD293" s="1141"/>
      <c r="AE293" s="1135"/>
      <c r="AF293" s="1141"/>
      <c r="AG293" s="1135"/>
      <c r="AH293" s="1141"/>
      <c r="AI293" s="1141"/>
      <c r="AJ293" s="1142"/>
      <c r="AK293" s="1137">
        <f t="shared" si="17"/>
        <v>0</v>
      </c>
      <c r="AL293" s="1137">
        <f t="shared" si="17"/>
        <v>0</v>
      </c>
    </row>
    <row r="294" spans="1:38" hidden="1" outlineLevel="2" x14ac:dyDescent="0.3">
      <c r="A294" s="1130"/>
      <c r="B294" s="1138"/>
      <c r="C294" s="1139"/>
      <c r="D294" s="1140"/>
      <c r="E294" s="1134"/>
      <c r="F294" s="1141"/>
      <c r="G294" s="1141"/>
      <c r="H294" s="1141"/>
      <c r="I294" s="1141"/>
      <c r="J294" s="1141"/>
      <c r="K294" s="1135"/>
      <c r="L294" s="1141"/>
      <c r="M294" s="1141"/>
      <c r="N294" s="1141"/>
      <c r="O294" s="1141"/>
      <c r="P294" s="1141"/>
      <c r="Q294" s="1141"/>
      <c r="R294" s="1141"/>
      <c r="S294" s="1141"/>
      <c r="T294" s="1141"/>
      <c r="U294" s="1135"/>
      <c r="V294" s="1141"/>
      <c r="W294" s="1141"/>
      <c r="X294" s="1141"/>
      <c r="Y294" s="1141"/>
      <c r="Z294" s="1141"/>
      <c r="AA294" s="1141"/>
      <c r="AB294" s="1141"/>
      <c r="AC294" s="1141"/>
      <c r="AD294" s="1141"/>
      <c r="AE294" s="1135"/>
      <c r="AF294" s="1141"/>
      <c r="AG294" s="1135"/>
      <c r="AH294" s="1141"/>
      <c r="AI294" s="1141"/>
      <c r="AJ294" s="1142"/>
      <c r="AK294" s="1137">
        <f t="shared" si="17"/>
        <v>0</v>
      </c>
      <c r="AL294" s="1137">
        <f t="shared" si="17"/>
        <v>0</v>
      </c>
    </row>
    <row r="295" spans="1:38" hidden="1" outlineLevel="2" x14ac:dyDescent="0.3">
      <c r="A295" s="1130"/>
      <c r="B295" s="1138"/>
      <c r="C295" s="1139"/>
      <c r="D295" s="1140"/>
      <c r="E295" s="1134"/>
      <c r="F295" s="1141"/>
      <c r="G295" s="1141"/>
      <c r="H295" s="1141"/>
      <c r="I295" s="1141"/>
      <c r="J295" s="1141"/>
      <c r="K295" s="1135"/>
      <c r="L295" s="1141"/>
      <c r="M295" s="1141"/>
      <c r="N295" s="1141"/>
      <c r="O295" s="1141"/>
      <c r="P295" s="1141"/>
      <c r="Q295" s="1141"/>
      <c r="R295" s="1141"/>
      <c r="S295" s="1141"/>
      <c r="T295" s="1141"/>
      <c r="U295" s="1135"/>
      <c r="V295" s="1141"/>
      <c r="W295" s="1141"/>
      <c r="X295" s="1141"/>
      <c r="Y295" s="1141"/>
      <c r="Z295" s="1141"/>
      <c r="AA295" s="1141"/>
      <c r="AB295" s="1141"/>
      <c r="AC295" s="1141"/>
      <c r="AD295" s="1141"/>
      <c r="AE295" s="1135"/>
      <c r="AF295" s="1141"/>
      <c r="AG295" s="1135"/>
      <c r="AH295" s="1141"/>
      <c r="AI295" s="1141"/>
      <c r="AJ295" s="1142"/>
      <c r="AK295" s="1137">
        <f t="shared" si="17"/>
        <v>0</v>
      </c>
      <c r="AL295" s="1137">
        <f t="shared" si="17"/>
        <v>0</v>
      </c>
    </row>
    <row r="296" spans="1:38" hidden="1" outlineLevel="2" x14ac:dyDescent="0.3">
      <c r="A296" s="1130"/>
      <c r="B296" s="1138"/>
      <c r="C296" s="1139"/>
      <c r="D296" s="1140"/>
      <c r="E296" s="1134"/>
      <c r="F296" s="1141"/>
      <c r="G296" s="1141"/>
      <c r="H296" s="1141"/>
      <c r="I296" s="1141"/>
      <c r="J296" s="1141"/>
      <c r="K296" s="1135"/>
      <c r="L296" s="1141"/>
      <c r="M296" s="1141"/>
      <c r="N296" s="1141"/>
      <c r="O296" s="1141"/>
      <c r="P296" s="1141"/>
      <c r="Q296" s="1141"/>
      <c r="R296" s="1141"/>
      <c r="S296" s="1141"/>
      <c r="T296" s="1141"/>
      <c r="U296" s="1135"/>
      <c r="V296" s="1141"/>
      <c r="W296" s="1141"/>
      <c r="X296" s="1141"/>
      <c r="Y296" s="1141"/>
      <c r="Z296" s="1141"/>
      <c r="AA296" s="1141"/>
      <c r="AB296" s="1141"/>
      <c r="AC296" s="1141"/>
      <c r="AD296" s="1141"/>
      <c r="AE296" s="1135"/>
      <c r="AF296" s="1141"/>
      <c r="AG296" s="1135"/>
      <c r="AH296" s="1141"/>
      <c r="AI296" s="1141"/>
      <c r="AJ296" s="1142"/>
      <c r="AK296" s="1137">
        <f t="shared" si="17"/>
        <v>0</v>
      </c>
      <c r="AL296" s="1137">
        <f t="shared" si="17"/>
        <v>0</v>
      </c>
    </row>
    <row r="297" spans="1:38" hidden="1" outlineLevel="2" x14ac:dyDescent="0.3">
      <c r="A297" s="1130"/>
      <c r="B297" s="1138"/>
      <c r="C297" s="1139"/>
      <c r="D297" s="1140"/>
      <c r="E297" s="1134"/>
      <c r="F297" s="1141"/>
      <c r="G297" s="1141"/>
      <c r="H297" s="1141"/>
      <c r="I297" s="1141"/>
      <c r="J297" s="1141"/>
      <c r="K297" s="1135"/>
      <c r="L297" s="1141"/>
      <c r="M297" s="1141"/>
      <c r="N297" s="1141"/>
      <c r="O297" s="1141"/>
      <c r="P297" s="1141"/>
      <c r="Q297" s="1141"/>
      <c r="R297" s="1141"/>
      <c r="S297" s="1141"/>
      <c r="T297" s="1141"/>
      <c r="U297" s="1135"/>
      <c r="V297" s="1141"/>
      <c r="W297" s="1141"/>
      <c r="X297" s="1141"/>
      <c r="Y297" s="1141"/>
      <c r="Z297" s="1141"/>
      <c r="AA297" s="1141"/>
      <c r="AB297" s="1141"/>
      <c r="AC297" s="1141"/>
      <c r="AD297" s="1141"/>
      <c r="AE297" s="1135"/>
      <c r="AF297" s="1141"/>
      <c r="AG297" s="1135"/>
      <c r="AH297" s="1141"/>
      <c r="AI297" s="1141"/>
      <c r="AJ297" s="1142"/>
      <c r="AK297" s="1137">
        <f t="shared" si="17"/>
        <v>0</v>
      </c>
      <c r="AL297" s="1137">
        <f t="shared" si="17"/>
        <v>0</v>
      </c>
    </row>
    <row r="298" spans="1:38" hidden="1" outlineLevel="2" x14ac:dyDescent="0.3">
      <c r="A298" s="1130"/>
      <c r="B298" s="1138"/>
      <c r="C298" s="1139"/>
      <c r="D298" s="1140"/>
      <c r="E298" s="1134"/>
      <c r="F298" s="1141"/>
      <c r="G298" s="1141"/>
      <c r="H298" s="1141"/>
      <c r="I298" s="1141"/>
      <c r="J298" s="1141"/>
      <c r="K298" s="1135"/>
      <c r="L298" s="1141"/>
      <c r="M298" s="1141"/>
      <c r="N298" s="1141"/>
      <c r="O298" s="1141"/>
      <c r="P298" s="1141"/>
      <c r="Q298" s="1141"/>
      <c r="R298" s="1141"/>
      <c r="S298" s="1141"/>
      <c r="T298" s="1141"/>
      <c r="U298" s="1135"/>
      <c r="V298" s="1141"/>
      <c r="W298" s="1141"/>
      <c r="X298" s="1141"/>
      <c r="Y298" s="1141"/>
      <c r="Z298" s="1141"/>
      <c r="AA298" s="1141"/>
      <c r="AB298" s="1141"/>
      <c r="AC298" s="1141"/>
      <c r="AD298" s="1141"/>
      <c r="AE298" s="1135"/>
      <c r="AF298" s="1141"/>
      <c r="AG298" s="1135"/>
      <c r="AH298" s="1141"/>
      <c r="AI298" s="1141"/>
      <c r="AJ298" s="1142"/>
      <c r="AK298" s="1137">
        <f t="shared" si="17"/>
        <v>0</v>
      </c>
      <c r="AL298" s="1137">
        <f t="shared" si="17"/>
        <v>0</v>
      </c>
    </row>
    <row r="299" spans="1:38" hidden="1" outlineLevel="2" x14ac:dyDescent="0.3">
      <c r="A299" s="1130"/>
      <c r="B299" s="1138"/>
      <c r="C299" s="1139"/>
      <c r="D299" s="1140"/>
      <c r="E299" s="1134"/>
      <c r="F299" s="1141"/>
      <c r="G299" s="1141"/>
      <c r="H299" s="1141"/>
      <c r="I299" s="1141"/>
      <c r="J299" s="1141"/>
      <c r="K299" s="1135"/>
      <c r="L299" s="1141"/>
      <c r="M299" s="1141"/>
      <c r="N299" s="1141"/>
      <c r="O299" s="1141"/>
      <c r="P299" s="1141"/>
      <c r="Q299" s="1141"/>
      <c r="R299" s="1141"/>
      <c r="S299" s="1141"/>
      <c r="T299" s="1141"/>
      <c r="U299" s="1135"/>
      <c r="V299" s="1141"/>
      <c r="W299" s="1141"/>
      <c r="X299" s="1141"/>
      <c r="Y299" s="1141"/>
      <c r="Z299" s="1141"/>
      <c r="AA299" s="1141"/>
      <c r="AB299" s="1141"/>
      <c r="AC299" s="1141"/>
      <c r="AD299" s="1141"/>
      <c r="AE299" s="1135"/>
      <c r="AF299" s="1141"/>
      <c r="AG299" s="1135"/>
      <c r="AH299" s="1141"/>
      <c r="AI299" s="1141"/>
      <c r="AJ299" s="1142"/>
      <c r="AK299" s="1137">
        <f t="shared" si="17"/>
        <v>0</v>
      </c>
      <c r="AL299" s="1137">
        <f t="shared" si="17"/>
        <v>0</v>
      </c>
    </row>
    <row r="300" spans="1:38" hidden="1" outlineLevel="2" x14ac:dyDescent="0.3">
      <c r="A300" s="1130"/>
      <c r="B300" s="1138"/>
      <c r="C300" s="1139"/>
      <c r="D300" s="1140"/>
      <c r="E300" s="1134"/>
      <c r="F300" s="1141"/>
      <c r="G300" s="1141"/>
      <c r="H300" s="1141"/>
      <c r="I300" s="1141"/>
      <c r="J300" s="1141"/>
      <c r="K300" s="1135"/>
      <c r="L300" s="1141"/>
      <c r="M300" s="1141"/>
      <c r="N300" s="1141"/>
      <c r="O300" s="1141"/>
      <c r="P300" s="1141"/>
      <c r="Q300" s="1141"/>
      <c r="R300" s="1141"/>
      <c r="S300" s="1141"/>
      <c r="T300" s="1141"/>
      <c r="U300" s="1135"/>
      <c r="V300" s="1141"/>
      <c r="W300" s="1141"/>
      <c r="X300" s="1141"/>
      <c r="Y300" s="1141"/>
      <c r="Z300" s="1141"/>
      <c r="AA300" s="1141"/>
      <c r="AB300" s="1141"/>
      <c r="AC300" s="1141"/>
      <c r="AD300" s="1141"/>
      <c r="AE300" s="1135"/>
      <c r="AF300" s="1141"/>
      <c r="AG300" s="1135"/>
      <c r="AH300" s="1141"/>
      <c r="AI300" s="1141"/>
      <c r="AJ300" s="1142"/>
      <c r="AK300" s="1137">
        <f t="shared" si="17"/>
        <v>0</v>
      </c>
      <c r="AL300" s="1137">
        <f t="shared" si="17"/>
        <v>0</v>
      </c>
    </row>
    <row r="301" spans="1:38" hidden="1" outlineLevel="2" x14ac:dyDescent="0.3">
      <c r="A301" s="1130"/>
      <c r="B301" s="1138"/>
      <c r="C301" s="1139"/>
      <c r="D301" s="1140"/>
      <c r="E301" s="1134"/>
      <c r="F301" s="1141"/>
      <c r="G301" s="1141"/>
      <c r="H301" s="1141"/>
      <c r="I301" s="1141"/>
      <c r="J301" s="1141"/>
      <c r="K301" s="1135"/>
      <c r="L301" s="1141"/>
      <c r="M301" s="1141"/>
      <c r="N301" s="1141"/>
      <c r="O301" s="1141"/>
      <c r="P301" s="1141"/>
      <c r="Q301" s="1141"/>
      <c r="R301" s="1141"/>
      <c r="S301" s="1141"/>
      <c r="T301" s="1141"/>
      <c r="U301" s="1135"/>
      <c r="V301" s="1141"/>
      <c r="W301" s="1141"/>
      <c r="X301" s="1141"/>
      <c r="Y301" s="1141"/>
      <c r="Z301" s="1141"/>
      <c r="AA301" s="1141"/>
      <c r="AB301" s="1141"/>
      <c r="AC301" s="1141"/>
      <c r="AD301" s="1141"/>
      <c r="AE301" s="1135"/>
      <c r="AF301" s="1141"/>
      <c r="AG301" s="1135"/>
      <c r="AH301" s="1141"/>
      <c r="AI301" s="1141"/>
      <c r="AJ301" s="1142"/>
      <c r="AK301" s="1137">
        <f t="shared" si="17"/>
        <v>0</v>
      </c>
      <c r="AL301" s="1137">
        <f t="shared" si="17"/>
        <v>0</v>
      </c>
    </row>
    <row r="302" spans="1:38" hidden="1" outlineLevel="2" x14ac:dyDescent="0.3">
      <c r="A302" s="1130"/>
      <c r="B302" s="1138"/>
      <c r="C302" s="1139"/>
      <c r="D302" s="1140"/>
      <c r="E302" s="1134"/>
      <c r="F302" s="1141"/>
      <c r="G302" s="1141"/>
      <c r="H302" s="1141"/>
      <c r="I302" s="1141"/>
      <c r="J302" s="1141"/>
      <c r="K302" s="1135"/>
      <c r="L302" s="1141"/>
      <c r="M302" s="1141"/>
      <c r="N302" s="1141"/>
      <c r="O302" s="1141"/>
      <c r="P302" s="1141"/>
      <c r="Q302" s="1141"/>
      <c r="R302" s="1141"/>
      <c r="S302" s="1141"/>
      <c r="T302" s="1141"/>
      <c r="U302" s="1135"/>
      <c r="V302" s="1141"/>
      <c r="W302" s="1141"/>
      <c r="X302" s="1141"/>
      <c r="Y302" s="1141"/>
      <c r="Z302" s="1141"/>
      <c r="AA302" s="1141"/>
      <c r="AB302" s="1141"/>
      <c r="AC302" s="1141"/>
      <c r="AD302" s="1141"/>
      <c r="AE302" s="1135"/>
      <c r="AF302" s="1141"/>
      <c r="AG302" s="1135"/>
      <c r="AH302" s="1141"/>
      <c r="AI302" s="1141"/>
      <c r="AJ302" s="1142"/>
      <c r="AK302" s="1137">
        <f t="shared" si="17"/>
        <v>0</v>
      </c>
      <c r="AL302" s="1137">
        <f t="shared" si="17"/>
        <v>0</v>
      </c>
    </row>
    <row r="303" spans="1:38" hidden="1" outlineLevel="2" x14ac:dyDescent="0.3">
      <c r="A303" s="1130"/>
      <c r="B303" s="1138"/>
      <c r="C303" s="1139"/>
      <c r="D303" s="1140"/>
      <c r="E303" s="1134"/>
      <c r="F303" s="1141"/>
      <c r="G303" s="1141"/>
      <c r="H303" s="1141"/>
      <c r="I303" s="1141"/>
      <c r="J303" s="1141"/>
      <c r="K303" s="1135"/>
      <c r="L303" s="1141"/>
      <c r="M303" s="1141"/>
      <c r="N303" s="1141"/>
      <c r="O303" s="1141"/>
      <c r="P303" s="1141"/>
      <c r="Q303" s="1141"/>
      <c r="R303" s="1141"/>
      <c r="S303" s="1141"/>
      <c r="T303" s="1141"/>
      <c r="U303" s="1135"/>
      <c r="V303" s="1141"/>
      <c r="W303" s="1141"/>
      <c r="X303" s="1141"/>
      <c r="Y303" s="1141"/>
      <c r="Z303" s="1141"/>
      <c r="AA303" s="1141"/>
      <c r="AB303" s="1141"/>
      <c r="AC303" s="1141"/>
      <c r="AD303" s="1141"/>
      <c r="AE303" s="1135"/>
      <c r="AF303" s="1141"/>
      <c r="AG303" s="1135"/>
      <c r="AH303" s="1141"/>
      <c r="AI303" s="1141"/>
      <c r="AJ303" s="1142"/>
      <c r="AK303" s="1137">
        <f t="shared" si="17"/>
        <v>0</v>
      </c>
      <c r="AL303" s="1137">
        <f t="shared" si="17"/>
        <v>0</v>
      </c>
    </row>
    <row r="304" spans="1:38" hidden="1" outlineLevel="2" x14ac:dyDescent="0.3">
      <c r="A304" s="1130"/>
      <c r="B304" s="1138"/>
      <c r="C304" s="1139"/>
      <c r="D304" s="1140"/>
      <c r="E304" s="1134"/>
      <c r="F304" s="1141"/>
      <c r="G304" s="1141"/>
      <c r="H304" s="1141"/>
      <c r="I304" s="1141"/>
      <c r="J304" s="1141"/>
      <c r="K304" s="1135"/>
      <c r="L304" s="1141"/>
      <c r="M304" s="1141"/>
      <c r="N304" s="1141"/>
      <c r="O304" s="1141"/>
      <c r="P304" s="1141"/>
      <c r="Q304" s="1141"/>
      <c r="R304" s="1141"/>
      <c r="S304" s="1141"/>
      <c r="T304" s="1141"/>
      <c r="U304" s="1135"/>
      <c r="V304" s="1141"/>
      <c r="W304" s="1141"/>
      <c r="X304" s="1141"/>
      <c r="Y304" s="1141"/>
      <c r="Z304" s="1141"/>
      <c r="AA304" s="1141"/>
      <c r="AB304" s="1141"/>
      <c r="AC304" s="1141"/>
      <c r="AD304" s="1141"/>
      <c r="AE304" s="1135"/>
      <c r="AF304" s="1141"/>
      <c r="AG304" s="1135"/>
      <c r="AH304" s="1141"/>
      <c r="AI304" s="1141"/>
      <c r="AJ304" s="1142"/>
      <c r="AK304" s="1137">
        <f t="shared" si="17"/>
        <v>0</v>
      </c>
      <c r="AL304" s="1137">
        <f t="shared" si="17"/>
        <v>0</v>
      </c>
    </row>
    <row r="305" spans="1:38" hidden="1" outlineLevel="2" x14ac:dyDescent="0.3">
      <c r="A305" s="1130"/>
      <c r="B305" s="1138"/>
      <c r="C305" s="1139"/>
      <c r="D305" s="1140"/>
      <c r="E305" s="1134"/>
      <c r="F305" s="1141"/>
      <c r="G305" s="1141"/>
      <c r="H305" s="1141"/>
      <c r="I305" s="1141"/>
      <c r="J305" s="1141"/>
      <c r="K305" s="1135"/>
      <c r="L305" s="1141"/>
      <c r="M305" s="1141"/>
      <c r="N305" s="1141"/>
      <c r="O305" s="1141"/>
      <c r="P305" s="1141"/>
      <c r="Q305" s="1141"/>
      <c r="R305" s="1141"/>
      <c r="S305" s="1141"/>
      <c r="T305" s="1141"/>
      <c r="U305" s="1135"/>
      <c r="V305" s="1141"/>
      <c r="W305" s="1141"/>
      <c r="X305" s="1141"/>
      <c r="Y305" s="1141"/>
      <c r="Z305" s="1141"/>
      <c r="AA305" s="1141"/>
      <c r="AB305" s="1141"/>
      <c r="AC305" s="1141"/>
      <c r="AD305" s="1141"/>
      <c r="AE305" s="1135"/>
      <c r="AF305" s="1141"/>
      <c r="AG305" s="1135"/>
      <c r="AH305" s="1141"/>
      <c r="AI305" s="1141"/>
      <c r="AJ305" s="1142"/>
      <c r="AK305" s="1137">
        <f t="shared" si="17"/>
        <v>0</v>
      </c>
      <c r="AL305" s="1137">
        <f t="shared" si="17"/>
        <v>0</v>
      </c>
    </row>
    <row r="306" spans="1:38" hidden="1" outlineLevel="2" x14ac:dyDescent="0.3">
      <c r="A306" s="1130"/>
      <c r="B306" s="1138"/>
      <c r="C306" s="1139"/>
      <c r="D306" s="1140"/>
      <c r="E306" s="1134"/>
      <c r="F306" s="1141"/>
      <c r="G306" s="1141"/>
      <c r="H306" s="1141"/>
      <c r="I306" s="1141"/>
      <c r="J306" s="1141"/>
      <c r="K306" s="1135"/>
      <c r="L306" s="1141"/>
      <c r="M306" s="1141"/>
      <c r="N306" s="1141"/>
      <c r="O306" s="1141"/>
      <c r="P306" s="1141"/>
      <c r="Q306" s="1141"/>
      <c r="R306" s="1141"/>
      <c r="S306" s="1141"/>
      <c r="T306" s="1141"/>
      <c r="U306" s="1135"/>
      <c r="V306" s="1141"/>
      <c r="W306" s="1141"/>
      <c r="X306" s="1141"/>
      <c r="Y306" s="1141"/>
      <c r="Z306" s="1141"/>
      <c r="AA306" s="1141"/>
      <c r="AB306" s="1141"/>
      <c r="AC306" s="1141"/>
      <c r="AD306" s="1141"/>
      <c r="AE306" s="1135"/>
      <c r="AF306" s="1141"/>
      <c r="AG306" s="1135"/>
      <c r="AH306" s="1141"/>
      <c r="AI306" s="1141"/>
      <c r="AJ306" s="1142"/>
      <c r="AK306" s="1137">
        <f t="shared" si="17"/>
        <v>0</v>
      </c>
      <c r="AL306" s="1137">
        <f t="shared" si="17"/>
        <v>0</v>
      </c>
    </row>
    <row r="307" spans="1:38" hidden="1" outlineLevel="2" x14ac:dyDescent="0.3">
      <c r="A307" s="1130"/>
      <c r="B307" s="1138"/>
      <c r="C307" s="1139"/>
      <c r="D307" s="1140"/>
      <c r="E307" s="1134"/>
      <c r="F307" s="1141"/>
      <c r="G307" s="1141"/>
      <c r="H307" s="1141"/>
      <c r="I307" s="1141"/>
      <c r="J307" s="1141"/>
      <c r="K307" s="1135"/>
      <c r="L307" s="1141"/>
      <c r="M307" s="1141"/>
      <c r="N307" s="1141"/>
      <c r="O307" s="1141"/>
      <c r="P307" s="1141"/>
      <c r="Q307" s="1141"/>
      <c r="R307" s="1141"/>
      <c r="S307" s="1141"/>
      <c r="T307" s="1141"/>
      <c r="U307" s="1135"/>
      <c r="V307" s="1141"/>
      <c r="W307" s="1141"/>
      <c r="X307" s="1141"/>
      <c r="Y307" s="1141"/>
      <c r="Z307" s="1141"/>
      <c r="AA307" s="1141"/>
      <c r="AB307" s="1141"/>
      <c r="AC307" s="1141"/>
      <c r="AD307" s="1141"/>
      <c r="AE307" s="1135"/>
      <c r="AF307" s="1141"/>
      <c r="AG307" s="1135"/>
      <c r="AH307" s="1141"/>
      <c r="AI307" s="1141"/>
      <c r="AJ307" s="1142"/>
      <c r="AK307" s="1137">
        <f t="shared" ref="AK307:AL324" si="18">SUM(E307,G307,I307)-SUM(K307,M307,O307,Q307,S307,U307,W307,Y307,AA307,AC307,AE307,AG307,AI307)</f>
        <v>0</v>
      </c>
      <c r="AL307" s="1137">
        <f t="shared" si="18"/>
        <v>0</v>
      </c>
    </row>
    <row r="308" spans="1:38" hidden="1" outlineLevel="2" x14ac:dyDescent="0.3">
      <c r="A308" s="1130"/>
      <c r="B308" s="1138"/>
      <c r="C308" s="1139"/>
      <c r="D308" s="1140"/>
      <c r="E308" s="1134"/>
      <c r="F308" s="1141"/>
      <c r="G308" s="1141"/>
      <c r="H308" s="1141"/>
      <c r="I308" s="1141"/>
      <c r="J308" s="1141"/>
      <c r="K308" s="1135"/>
      <c r="L308" s="1141"/>
      <c r="M308" s="1141"/>
      <c r="N308" s="1141"/>
      <c r="O308" s="1141"/>
      <c r="P308" s="1141"/>
      <c r="Q308" s="1141"/>
      <c r="R308" s="1141"/>
      <c r="S308" s="1141"/>
      <c r="T308" s="1141"/>
      <c r="U308" s="1135"/>
      <c r="V308" s="1141"/>
      <c r="W308" s="1141"/>
      <c r="X308" s="1141"/>
      <c r="Y308" s="1141"/>
      <c r="Z308" s="1141"/>
      <c r="AA308" s="1141"/>
      <c r="AB308" s="1141"/>
      <c r="AC308" s="1141"/>
      <c r="AD308" s="1141"/>
      <c r="AE308" s="1135"/>
      <c r="AF308" s="1141"/>
      <c r="AG308" s="1135"/>
      <c r="AH308" s="1141"/>
      <c r="AI308" s="1141"/>
      <c r="AJ308" s="1142"/>
      <c r="AK308" s="1137">
        <f t="shared" si="18"/>
        <v>0</v>
      </c>
      <c r="AL308" s="1137">
        <f t="shared" si="18"/>
        <v>0</v>
      </c>
    </row>
    <row r="309" spans="1:38" hidden="1" outlineLevel="2" x14ac:dyDescent="0.3">
      <c r="A309" s="1130"/>
      <c r="B309" s="1138"/>
      <c r="C309" s="1139"/>
      <c r="D309" s="1140"/>
      <c r="E309" s="1134"/>
      <c r="F309" s="1141"/>
      <c r="G309" s="1141"/>
      <c r="H309" s="1141"/>
      <c r="I309" s="1141"/>
      <c r="J309" s="1141"/>
      <c r="K309" s="1135"/>
      <c r="L309" s="1141"/>
      <c r="M309" s="1141"/>
      <c r="N309" s="1141"/>
      <c r="O309" s="1141"/>
      <c r="P309" s="1141"/>
      <c r="Q309" s="1141"/>
      <c r="R309" s="1141"/>
      <c r="S309" s="1141"/>
      <c r="T309" s="1141"/>
      <c r="U309" s="1135"/>
      <c r="V309" s="1141"/>
      <c r="W309" s="1141"/>
      <c r="X309" s="1141"/>
      <c r="Y309" s="1141"/>
      <c r="Z309" s="1141"/>
      <c r="AA309" s="1141"/>
      <c r="AB309" s="1141"/>
      <c r="AC309" s="1141"/>
      <c r="AD309" s="1141"/>
      <c r="AE309" s="1135"/>
      <c r="AF309" s="1141"/>
      <c r="AG309" s="1135"/>
      <c r="AH309" s="1141"/>
      <c r="AI309" s="1141"/>
      <c r="AJ309" s="1142"/>
      <c r="AK309" s="1137">
        <f t="shared" si="18"/>
        <v>0</v>
      </c>
      <c r="AL309" s="1137">
        <f t="shared" si="18"/>
        <v>0</v>
      </c>
    </row>
    <row r="310" spans="1:38" hidden="1" outlineLevel="2" x14ac:dyDescent="0.3">
      <c r="A310" s="1130"/>
      <c r="B310" s="1138"/>
      <c r="C310" s="1139"/>
      <c r="D310" s="1140"/>
      <c r="E310" s="1134"/>
      <c r="F310" s="1141"/>
      <c r="G310" s="1141"/>
      <c r="H310" s="1141"/>
      <c r="I310" s="1141"/>
      <c r="J310" s="1141"/>
      <c r="K310" s="1135"/>
      <c r="L310" s="1141"/>
      <c r="M310" s="1141"/>
      <c r="N310" s="1141"/>
      <c r="O310" s="1141"/>
      <c r="P310" s="1141"/>
      <c r="Q310" s="1141"/>
      <c r="R310" s="1141"/>
      <c r="S310" s="1141"/>
      <c r="T310" s="1141"/>
      <c r="U310" s="1135"/>
      <c r="V310" s="1141"/>
      <c r="W310" s="1141"/>
      <c r="X310" s="1141"/>
      <c r="Y310" s="1141"/>
      <c r="Z310" s="1141"/>
      <c r="AA310" s="1141"/>
      <c r="AB310" s="1141"/>
      <c r="AC310" s="1141"/>
      <c r="AD310" s="1141"/>
      <c r="AE310" s="1135"/>
      <c r="AF310" s="1141"/>
      <c r="AG310" s="1135"/>
      <c r="AH310" s="1141"/>
      <c r="AI310" s="1141"/>
      <c r="AJ310" s="1142"/>
      <c r="AK310" s="1137">
        <f t="shared" si="18"/>
        <v>0</v>
      </c>
      <c r="AL310" s="1137">
        <f t="shared" si="18"/>
        <v>0</v>
      </c>
    </row>
    <row r="311" spans="1:38" hidden="1" outlineLevel="2" x14ac:dyDescent="0.3">
      <c r="A311" s="1130"/>
      <c r="B311" s="1138"/>
      <c r="C311" s="1139"/>
      <c r="D311" s="1140"/>
      <c r="E311" s="1134"/>
      <c r="F311" s="1141"/>
      <c r="G311" s="1141"/>
      <c r="H311" s="1141"/>
      <c r="I311" s="1141"/>
      <c r="J311" s="1141"/>
      <c r="K311" s="1135"/>
      <c r="L311" s="1141"/>
      <c r="M311" s="1141"/>
      <c r="N311" s="1141"/>
      <c r="O311" s="1141"/>
      <c r="P311" s="1141"/>
      <c r="Q311" s="1141"/>
      <c r="R311" s="1141"/>
      <c r="S311" s="1141"/>
      <c r="T311" s="1141"/>
      <c r="U311" s="1135"/>
      <c r="V311" s="1141"/>
      <c r="W311" s="1141"/>
      <c r="X311" s="1141"/>
      <c r="Y311" s="1141"/>
      <c r="Z311" s="1141"/>
      <c r="AA311" s="1141"/>
      <c r="AB311" s="1141"/>
      <c r="AC311" s="1141"/>
      <c r="AD311" s="1141"/>
      <c r="AE311" s="1135"/>
      <c r="AF311" s="1141"/>
      <c r="AG311" s="1135"/>
      <c r="AH311" s="1141"/>
      <c r="AI311" s="1141"/>
      <c r="AJ311" s="1142"/>
      <c r="AK311" s="1137">
        <f t="shared" si="18"/>
        <v>0</v>
      </c>
      <c r="AL311" s="1137">
        <f t="shared" si="18"/>
        <v>0</v>
      </c>
    </row>
    <row r="312" spans="1:38" hidden="1" outlineLevel="2" x14ac:dyDescent="0.3">
      <c r="A312" s="1130"/>
      <c r="B312" s="1138"/>
      <c r="C312" s="1139"/>
      <c r="D312" s="1140"/>
      <c r="E312" s="1134"/>
      <c r="F312" s="1141"/>
      <c r="G312" s="1141"/>
      <c r="H312" s="1141"/>
      <c r="I312" s="1141"/>
      <c r="J312" s="1141"/>
      <c r="K312" s="1135"/>
      <c r="L312" s="1141"/>
      <c r="M312" s="1141"/>
      <c r="N312" s="1141"/>
      <c r="O312" s="1141"/>
      <c r="P312" s="1141"/>
      <c r="Q312" s="1141"/>
      <c r="R312" s="1141"/>
      <c r="S312" s="1141"/>
      <c r="T312" s="1141"/>
      <c r="U312" s="1135"/>
      <c r="V312" s="1141"/>
      <c r="W312" s="1141"/>
      <c r="X312" s="1141"/>
      <c r="Y312" s="1141"/>
      <c r="Z312" s="1141"/>
      <c r="AA312" s="1141"/>
      <c r="AB312" s="1141"/>
      <c r="AC312" s="1141"/>
      <c r="AD312" s="1141"/>
      <c r="AE312" s="1135"/>
      <c r="AF312" s="1141"/>
      <c r="AG312" s="1135"/>
      <c r="AH312" s="1141"/>
      <c r="AI312" s="1141"/>
      <c r="AJ312" s="1142"/>
      <c r="AK312" s="1137">
        <f t="shared" si="18"/>
        <v>0</v>
      </c>
      <c r="AL312" s="1137">
        <f t="shared" si="18"/>
        <v>0</v>
      </c>
    </row>
    <row r="313" spans="1:38" hidden="1" outlineLevel="2" x14ac:dyDescent="0.3">
      <c r="A313" s="1130"/>
      <c r="B313" s="1138"/>
      <c r="C313" s="1139"/>
      <c r="D313" s="1140"/>
      <c r="E313" s="1134"/>
      <c r="F313" s="1141"/>
      <c r="G313" s="1141"/>
      <c r="H313" s="1141"/>
      <c r="I313" s="1141"/>
      <c r="J313" s="1141"/>
      <c r="K313" s="1135"/>
      <c r="L313" s="1141"/>
      <c r="M313" s="1141"/>
      <c r="N313" s="1141"/>
      <c r="O313" s="1141"/>
      <c r="P313" s="1141"/>
      <c r="Q313" s="1141"/>
      <c r="R313" s="1141"/>
      <c r="S313" s="1141"/>
      <c r="T313" s="1141"/>
      <c r="U313" s="1135"/>
      <c r="V313" s="1141"/>
      <c r="W313" s="1141"/>
      <c r="X313" s="1141"/>
      <c r="Y313" s="1141"/>
      <c r="Z313" s="1141"/>
      <c r="AA313" s="1141"/>
      <c r="AB313" s="1141"/>
      <c r="AC313" s="1141"/>
      <c r="AD313" s="1141"/>
      <c r="AE313" s="1135"/>
      <c r="AF313" s="1141"/>
      <c r="AG313" s="1135"/>
      <c r="AH313" s="1141"/>
      <c r="AI313" s="1141"/>
      <c r="AJ313" s="1142"/>
      <c r="AK313" s="1137">
        <f t="shared" si="18"/>
        <v>0</v>
      </c>
      <c r="AL313" s="1137">
        <f t="shared" si="18"/>
        <v>0</v>
      </c>
    </row>
    <row r="314" spans="1:38" hidden="1" outlineLevel="2" x14ac:dyDescent="0.3">
      <c r="A314" s="1130"/>
      <c r="B314" s="1138"/>
      <c r="C314" s="1139"/>
      <c r="D314" s="1140"/>
      <c r="E314" s="1134"/>
      <c r="F314" s="1141"/>
      <c r="G314" s="1141"/>
      <c r="H314" s="1141"/>
      <c r="I314" s="1141"/>
      <c r="J314" s="1141"/>
      <c r="K314" s="1135"/>
      <c r="L314" s="1141"/>
      <c r="M314" s="1141"/>
      <c r="N314" s="1141"/>
      <c r="O314" s="1141"/>
      <c r="P314" s="1141"/>
      <c r="Q314" s="1141"/>
      <c r="R314" s="1141"/>
      <c r="S314" s="1141"/>
      <c r="T314" s="1141"/>
      <c r="U314" s="1135"/>
      <c r="V314" s="1141"/>
      <c r="W314" s="1141"/>
      <c r="X314" s="1141"/>
      <c r="Y314" s="1141"/>
      <c r="Z314" s="1141"/>
      <c r="AA314" s="1141"/>
      <c r="AB314" s="1141"/>
      <c r="AC314" s="1141"/>
      <c r="AD314" s="1141"/>
      <c r="AE314" s="1135"/>
      <c r="AF314" s="1141"/>
      <c r="AG314" s="1135"/>
      <c r="AH314" s="1141"/>
      <c r="AI314" s="1141"/>
      <c r="AJ314" s="1142"/>
      <c r="AK314" s="1137">
        <f t="shared" si="18"/>
        <v>0</v>
      </c>
      <c r="AL314" s="1137">
        <f t="shared" si="18"/>
        <v>0</v>
      </c>
    </row>
    <row r="315" spans="1:38" hidden="1" outlineLevel="2" x14ac:dyDescent="0.3">
      <c r="A315" s="1130"/>
      <c r="B315" s="1138"/>
      <c r="C315" s="1139"/>
      <c r="D315" s="1140"/>
      <c r="E315" s="1134"/>
      <c r="F315" s="1141"/>
      <c r="G315" s="1141"/>
      <c r="H315" s="1141"/>
      <c r="I315" s="1141"/>
      <c r="J315" s="1141"/>
      <c r="K315" s="1135"/>
      <c r="L315" s="1141"/>
      <c r="M315" s="1141"/>
      <c r="N315" s="1141"/>
      <c r="O315" s="1141"/>
      <c r="P315" s="1141"/>
      <c r="Q315" s="1141"/>
      <c r="R315" s="1141"/>
      <c r="S315" s="1141"/>
      <c r="T315" s="1141"/>
      <c r="U315" s="1135"/>
      <c r="V315" s="1141"/>
      <c r="W315" s="1141"/>
      <c r="X315" s="1141"/>
      <c r="Y315" s="1141"/>
      <c r="Z315" s="1141"/>
      <c r="AA315" s="1141"/>
      <c r="AB315" s="1141"/>
      <c r="AC315" s="1141"/>
      <c r="AD315" s="1141"/>
      <c r="AE315" s="1135"/>
      <c r="AF315" s="1141"/>
      <c r="AG315" s="1135"/>
      <c r="AH315" s="1141"/>
      <c r="AI315" s="1141"/>
      <c r="AJ315" s="1142"/>
      <c r="AK315" s="1137">
        <f t="shared" si="18"/>
        <v>0</v>
      </c>
      <c r="AL315" s="1137">
        <f t="shared" si="18"/>
        <v>0</v>
      </c>
    </row>
    <row r="316" spans="1:38" hidden="1" outlineLevel="2" x14ac:dyDescent="0.3">
      <c r="A316" s="1130"/>
      <c r="B316" s="1138"/>
      <c r="C316" s="1139"/>
      <c r="D316" s="1140"/>
      <c r="E316" s="1134"/>
      <c r="F316" s="1141"/>
      <c r="G316" s="1141"/>
      <c r="H316" s="1141"/>
      <c r="I316" s="1141"/>
      <c r="J316" s="1141"/>
      <c r="K316" s="1135"/>
      <c r="L316" s="1141"/>
      <c r="M316" s="1141"/>
      <c r="N316" s="1141"/>
      <c r="O316" s="1141"/>
      <c r="P316" s="1141"/>
      <c r="Q316" s="1141"/>
      <c r="R316" s="1141"/>
      <c r="S316" s="1141"/>
      <c r="T316" s="1141"/>
      <c r="U316" s="1135"/>
      <c r="V316" s="1141"/>
      <c r="W316" s="1141"/>
      <c r="X316" s="1141"/>
      <c r="Y316" s="1141"/>
      <c r="Z316" s="1141"/>
      <c r="AA316" s="1141"/>
      <c r="AB316" s="1141"/>
      <c r="AC316" s="1141"/>
      <c r="AD316" s="1141"/>
      <c r="AE316" s="1135"/>
      <c r="AF316" s="1141"/>
      <c r="AG316" s="1135"/>
      <c r="AH316" s="1141"/>
      <c r="AI316" s="1141"/>
      <c r="AJ316" s="1142"/>
      <c r="AK316" s="1137">
        <f t="shared" si="18"/>
        <v>0</v>
      </c>
      <c r="AL316" s="1137">
        <f t="shared" si="18"/>
        <v>0</v>
      </c>
    </row>
    <row r="317" spans="1:38" hidden="1" outlineLevel="2" x14ac:dyDescent="0.3">
      <c r="A317" s="1130"/>
      <c r="B317" s="1138"/>
      <c r="C317" s="1139"/>
      <c r="D317" s="1140"/>
      <c r="E317" s="1134"/>
      <c r="F317" s="1141"/>
      <c r="G317" s="1141"/>
      <c r="H317" s="1141"/>
      <c r="I317" s="1141"/>
      <c r="J317" s="1141"/>
      <c r="K317" s="1135"/>
      <c r="L317" s="1141"/>
      <c r="M317" s="1141"/>
      <c r="N317" s="1141"/>
      <c r="O317" s="1141"/>
      <c r="P317" s="1141"/>
      <c r="Q317" s="1141"/>
      <c r="R317" s="1141"/>
      <c r="S317" s="1141"/>
      <c r="T317" s="1141"/>
      <c r="U317" s="1135"/>
      <c r="V317" s="1141"/>
      <c r="W317" s="1141"/>
      <c r="X317" s="1141"/>
      <c r="Y317" s="1141"/>
      <c r="Z317" s="1141"/>
      <c r="AA317" s="1141"/>
      <c r="AB317" s="1141"/>
      <c r="AC317" s="1141"/>
      <c r="AD317" s="1141"/>
      <c r="AE317" s="1135"/>
      <c r="AF317" s="1141"/>
      <c r="AG317" s="1135"/>
      <c r="AH317" s="1141"/>
      <c r="AI317" s="1141"/>
      <c r="AJ317" s="1142"/>
      <c r="AK317" s="1137">
        <f t="shared" si="18"/>
        <v>0</v>
      </c>
      <c r="AL317" s="1137">
        <f t="shared" si="18"/>
        <v>0</v>
      </c>
    </row>
    <row r="318" spans="1:38" hidden="1" outlineLevel="2" x14ac:dyDescent="0.3">
      <c r="A318" s="1130"/>
      <c r="B318" s="1138"/>
      <c r="C318" s="1139"/>
      <c r="D318" s="1140"/>
      <c r="E318" s="1134"/>
      <c r="F318" s="1141"/>
      <c r="G318" s="1141"/>
      <c r="H318" s="1141"/>
      <c r="I318" s="1141"/>
      <c r="J318" s="1141"/>
      <c r="K318" s="1135"/>
      <c r="L318" s="1141"/>
      <c r="M318" s="1141"/>
      <c r="N318" s="1141"/>
      <c r="O318" s="1141"/>
      <c r="P318" s="1141"/>
      <c r="Q318" s="1141"/>
      <c r="R318" s="1141"/>
      <c r="S318" s="1141"/>
      <c r="T318" s="1141"/>
      <c r="U318" s="1135"/>
      <c r="V318" s="1141"/>
      <c r="W318" s="1141"/>
      <c r="X318" s="1141"/>
      <c r="Y318" s="1141"/>
      <c r="Z318" s="1141"/>
      <c r="AA318" s="1141"/>
      <c r="AB318" s="1141"/>
      <c r="AC318" s="1141"/>
      <c r="AD318" s="1141"/>
      <c r="AE318" s="1135"/>
      <c r="AF318" s="1141"/>
      <c r="AG318" s="1135"/>
      <c r="AH318" s="1141"/>
      <c r="AI318" s="1141"/>
      <c r="AJ318" s="1142"/>
      <c r="AK318" s="1137">
        <f t="shared" si="18"/>
        <v>0</v>
      </c>
      <c r="AL318" s="1137">
        <f t="shared" si="18"/>
        <v>0</v>
      </c>
    </row>
    <row r="319" spans="1:38" hidden="1" outlineLevel="2" x14ac:dyDescent="0.3">
      <c r="A319" s="1130"/>
      <c r="B319" s="1138"/>
      <c r="C319" s="1139"/>
      <c r="D319" s="1140"/>
      <c r="E319" s="1134"/>
      <c r="F319" s="1141"/>
      <c r="G319" s="1141"/>
      <c r="H319" s="1141"/>
      <c r="I319" s="1141"/>
      <c r="J319" s="1141"/>
      <c r="K319" s="1135"/>
      <c r="L319" s="1141"/>
      <c r="M319" s="1141"/>
      <c r="N319" s="1141"/>
      <c r="O319" s="1141"/>
      <c r="P319" s="1141"/>
      <c r="Q319" s="1141"/>
      <c r="R319" s="1141"/>
      <c r="S319" s="1141"/>
      <c r="T319" s="1141"/>
      <c r="U319" s="1135"/>
      <c r="V319" s="1141"/>
      <c r="W319" s="1141"/>
      <c r="X319" s="1141"/>
      <c r="Y319" s="1141"/>
      <c r="Z319" s="1141"/>
      <c r="AA319" s="1141"/>
      <c r="AB319" s="1141"/>
      <c r="AC319" s="1141"/>
      <c r="AD319" s="1141"/>
      <c r="AE319" s="1135"/>
      <c r="AF319" s="1141"/>
      <c r="AG319" s="1135"/>
      <c r="AH319" s="1141"/>
      <c r="AI319" s="1141"/>
      <c r="AJ319" s="1142"/>
      <c r="AK319" s="1137">
        <f t="shared" si="18"/>
        <v>0</v>
      </c>
      <c r="AL319" s="1137">
        <f t="shared" si="18"/>
        <v>0</v>
      </c>
    </row>
    <row r="320" spans="1:38" hidden="1" outlineLevel="2" x14ac:dyDescent="0.3">
      <c r="A320" s="1130"/>
      <c r="B320" s="1138"/>
      <c r="C320" s="1139"/>
      <c r="D320" s="1140"/>
      <c r="E320" s="1134"/>
      <c r="F320" s="1141"/>
      <c r="G320" s="1141"/>
      <c r="H320" s="1141"/>
      <c r="I320" s="1141"/>
      <c r="J320" s="1141"/>
      <c r="K320" s="1135"/>
      <c r="L320" s="1141"/>
      <c r="M320" s="1141"/>
      <c r="N320" s="1141"/>
      <c r="O320" s="1141"/>
      <c r="P320" s="1141"/>
      <c r="Q320" s="1141"/>
      <c r="R320" s="1141"/>
      <c r="S320" s="1141"/>
      <c r="T320" s="1141"/>
      <c r="U320" s="1135"/>
      <c r="V320" s="1141"/>
      <c r="W320" s="1141"/>
      <c r="X320" s="1141"/>
      <c r="Y320" s="1141"/>
      <c r="Z320" s="1141"/>
      <c r="AA320" s="1141"/>
      <c r="AB320" s="1141"/>
      <c r="AC320" s="1141"/>
      <c r="AD320" s="1141"/>
      <c r="AE320" s="1135"/>
      <c r="AF320" s="1141"/>
      <c r="AG320" s="1135"/>
      <c r="AH320" s="1141"/>
      <c r="AI320" s="1141"/>
      <c r="AJ320" s="1142"/>
      <c r="AK320" s="1137">
        <f t="shared" si="18"/>
        <v>0</v>
      </c>
      <c r="AL320" s="1137">
        <f t="shared" si="18"/>
        <v>0</v>
      </c>
    </row>
    <row r="321" spans="1:38" hidden="1" outlineLevel="2" x14ac:dyDescent="0.3">
      <c r="A321" s="1130"/>
      <c r="B321" s="1138"/>
      <c r="C321" s="1139"/>
      <c r="D321" s="1140"/>
      <c r="E321" s="1134"/>
      <c r="F321" s="1141"/>
      <c r="G321" s="1141"/>
      <c r="H321" s="1141"/>
      <c r="I321" s="1141"/>
      <c r="J321" s="1141"/>
      <c r="K321" s="1135"/>
      <c r="L321" s="1141"/>
      <c r="M321" s="1141"/>
      <c r="N321" s="1141"/>
      <c r="O321" s="1141"/>
      <c r="P321" s="1141"/>
      <c r="Q321" s="1141"/>
      <c r="R321" s="1141"/>
      <c r="S321" s="1141"/>
      <c r="T321" s="1141"/>
      <c r="U321" s="1135"/>
      <c r="V321" s="1141"/>
      <c r="W321" s="1141"/>
      <c r="X321" s="1141"/>
      <c r="Y321" s="1141"/>
      <c r="Z321" s="1141"/>
      <c r="AA321" s="1141"/>
      <c r="AB321" s="1141"/>
      <c r="AC321" s="1141"/>
      <c r="AD321" s="1141"/>
      <c r="AE321" s="1135"/>
      <c r="AF321" s="1141"/>
      <c r="AG321" s="1135"/>
      <c r="AH321" s="1141"/>
      <c r="AI321" s="1141"/>
      <c r="AJ321" s="1142"/>
      <c r="AK321" s="1137">
        <f t="shared" si="18"/>
        <v>0</v>
      </c>
      <c r="AL321" s="1137">
        <f t="shared" si="18"/>
        <v>0</v>
      </c>
    </row>
    <row r="322" spans="1:38" hidden="1" outlineLevel="2" x14ac:dyDescent="0.3">
      <c r="A322" s="1130"/>
      <c r="B322" s="1138"/>
      <c r="C322" s="1139"/>
      <c r="D322" s="1140"/>
      <c r="E322" s="1134"/>
      <c r="F322" s="1141"/>
      <c r="G322" s="1141"/>
      <c r="H322" s="1141"/>
      <c r="I322" s="1141"/>
      <c r="J322" s="1141"/>
      <c r="K322" s="1135"/>
      <c r="L322" s="1141"/>
      <c r="M322" s="1141"/>
      <c r="N322" s="1141"/>
      <c r="O322" s="1141"/>
      <c r="P322" s="1141"/>
      <c r="Q322" s="1141"/>
      <c r="R322" s="1141"/>
      <c r="S322" s="1141"/>
      <c r="T322" s="1141"/>
      <c r="U322" s="1135"/>
      <c r="V322" s="1141"/>
      <c r="W322" s="1141"/>
      <c r="X322" s="1141"/>
      <c r="Y322" s="1141"/>
      <c r="Z322" s="1141"/>
      <c r="AA322" s="1141"/>
      <c r="AB322" s="1141"/>
      <c r="AC322" s="1141"/>
      <c r="AD322" s="1141"/>
      <c r="AE322" s="1135"/>
      <c r="AF322" s="1141"/>
      <c r="AG322" s="1135"/>
      <c r="AH322" s="1141"/>
      <c r="AI322" s="1141"/>
      <c r="AJ322" s="1142"/>
      <c r="AK322" s="1137">
        <f t="shared" si="18"/>
        <v>0</v>
      </c>
      <c r="AL322" s="1137">
        <f t="shared" si="18"/>
        <v>0</v>
      </c>
    </row>
    <row r="323" spans="1:38" hidden="1" outlineLevel="2" x14ac:dyDescent="0.3">
      <c r="A323" s="1130"/>
      <c r="B323" s="1138"/>
      <c r="C323" s="1139"/>
      <c r="D323" s="1140"/>
      <c r="E323" s="1134"/>
      <c r="F323" s="1141"/>
      <c r="G323" s="1141"/>
      <c r="H323" s="1141"/>
      <c r="I323" s="1141"/>
      <c r="J323" s="1141"/>
      <c r="K323" s="1135"/>
      <c r="L323" s="1141"/>
      <c r="M323" s="1141"/>
      <c r="N323" s="1141"/>
      <c r="O323" s="1141"/>
      <c r="P323" s="1141"/>
      <c r="Q323" s="1141"/>
      <c r="R323" s="1141"/>
      <c r="S323" s="1141"/>
      <c r="T323" s="1141"/>
      <c r="U323" s="1135"/>
      <c r="V323" s="1141"/>
      <c r="W323" s="1141"/>
      <c r="X323" s="1141"/>
      <c r="Y323" s="1141"/>
      <c r="Z323" s="1141"/>
      <c r="AA323" s="1141"/>
      <c r="AB323" s="1141"/>
      <c r="AC323" s="1141"/>
      <c r="AD323" s="1141"/>
      <c r="AE323" s="1135"/>
      <c r="AF323" s="1141"/>
      <c r="AG323" s="1135"/>
      <c r="AH323" s="1141"/>
      <c r="AI323" s="1141"/>
      <c r="AJ323" s="1142"/>
      <c r="AK323" s="1137">
        <f t="shared" si="18"/>
        <v>0</v>
      </c>
      <c r="AL323" s="1137">
        <f t="shared" si="18"/>
        <v>0</v>
      </c>
    </row>
    <row r="324" spans="1:38" hidden="1" outlineLevel="2" x14ac:dyDescent="0.3">
      <c r="A324" s="1130"/>
      <c r="B324" s="1138"/>
      <c r="C324" s="1139"/>
      <c r="D324" s="1140"/>
      <c r="E324" s="1134"/>
      <c r="F324" s="1141"/>
      <c r="G324" s="1141"/>
      <c r="H324" s="1141"/>
      <c r="I324" s="1141"/>
      <c r="J324" s="1141"/>
      <c r="K324" s="1135"/>
      <c r="L324" s="1141"/>
      <c r="M324" s="1141"/>
      <c r="N324" s="1141"/>
      <c r="O324" s="1141"/>
      <c r="P324" s="1141"/>
      <c r="Q324" s="1141"/>
      <c r="R324" s="1141"/>
      <c r="S324" s="1141"/>
      <c r="T324" s="1141"/>
      <c r="U324" s="1135"/>
      <c r="V324" s="1141"/>
      <c r="W324" s="1141"/>
      <c r="X324" s="1141"/>
      <c r="Y324" s="1141"/>
      <c r="Z324" s="1141"/>
      <c r="AA324" s="1141"/>
      <c r="AB324" s="1141"/>
      <c r="AC324" s="1141"/>
      <c r="AD324" s="1141"/>
      <c r="AE324" s="1135"/>
      <c r="AF324" s="1141"/>
      <c r="AG324" s="1135"/>
      <c r="AH324" s="1141"/>
      <c r="AI324" s="1141"/>
      <c r="AJ324" s="1142"/>
      <c r="AK324" s="1137">
        <f t="shared" si="18"/>
        <v>0</v>
      </c>
      <c r="AL324" s="1137">
        <f t="shared" si="18"/>
        <v>0</v>
      </c>
    </row>
    <row r="325" spans="1:38" hidden="1" outlineLevel="2" x14ac:dyDescent="0.3">
      <c r="A325" s="1130"/>
      <c r="B325" s="1138"/>
      <c r="C325" s="1139"/>
      <c r="D325" s="1140"/>
      <c r="E325" s="1143"/>
      <c r="F325" s="1141"/>
      <c r="G325" s="1141"/>
      <c r="H325" s="1141"/>
      <c r="I325" s="1141"/>
      <c r="J325" s="1141"/>
      <c r="K325" s="1141"/>
      <c r="L325" s="1141"/>
      <c r="M325" s="1141"/>
      <c r="N325" s="1141"/>
      <c r="O325" s="1141"/>
      <c r="P325" s="1141"/>
      <c r="Q325" s="1141"/>
      <c r="R325" s="1141"/>
      <c r="S325" s="1141"/>
      <c r="T325" s="1141"/>
      <c r="U325" s="1135"/>
      <c r="V325" s="1141"/>
      <c r="W325" s="1141"/>
      <c r="X325" s="1141"/>
      <c r="Y325" s="1141"/>
      <c r="Z325" s="1141"/>
      <c r="AA325" s="1141"/>
      <c r="AB325" s="1141"/>
      <c r="AC325" s="1141"/>
      <c r="AD325" s="1141"/>
      <c r="AE325" s="1135"/>
      <c r="AF325" s="1141"/>
      <c r="AG325" s="1135"/>
      <c r="AH325" s="1141"/>
      <c r="AI325" s="1141"/>
      <c r="AJ325" s="1142"/>
      <c r="AK325" s="1137"/>
      <c r="AL325" s="1144"/>
    </row>
    <row r="326" spans="1:38" hidden="1" outlineLevel="2" x14ac:dyDescent="0.3">
      <c r="A326" s="1130"/>
      <c r="B326" s="1138"/>
      <c r="C326" s="1139"/>
      <c r="D326" s="1140"/>
      <c r="E326" s="1143"/>
      <c r="F326" s="1141"/>
      <c r="G326" s="1141"/>
      <c r="H326" s="1141"/>
      <c r="I326" s="1141"/>
      <c r="J326" s="1141"/>
      <c r="K326" s="1141"/>
      <c r="L326" s="1141"/>
      <c r="M326" s="1141"/>
      <c r="N326" s="1141"/>
      <c r="O326" s="1141"/>
      <c r="P326" s="1141"/>
      <c r="Q326" s="1141"/>
      <c r="R326" s="1141"/>
      <c r="S326" s="1141"/>
      <c r="T326" s="1141"/>
      <c r="U326" s="1141"/>
      <c r="V326" s="1141"/>
      <c r="W326" s="1141"/>
      <c r="X326" s="1141"/>
      <c r="Y326" s="1141"/>
      <c r="Z326" s="1141"/>
      <c r="AA326" s="1141"/>
      <c r="AB326" s="1141"/>
      <c r="AC326" s="1141"/>
      <c r="AD326" s="1141"/>
      <c r="AE326" s="1141"/>
      <c r="AF326" s="1141"/>
      <c r="AG326" s="1141"/>
      <c r="AH326" s="1141"/>
      <c r="AI326" s="1141"/>
      <c r="AJ326" s="1142"/>
      <c r="AK326" s="1142"/>
      <c r="AL326" s="1144"/>
    </row>
    <row r="327" spans="1:38" ht="15" outlineLevel="1" collapsed="1" thickBot="1" x14ac:dyDescent="0.35">
      <c r="A327" s="1130"/>
      <c r="B327" s="1145" t="s">
        <v>550</v>
      </c>
      <c r="C327" s="1146"/>
      <c r="D327" s="1147"/>
      <c r="E327" s="1148">
        <f t="shared" ref="E327:AL327" si="19">SUBTOTAL(9,E275:E326)</f>
        <v>0</v>
      </c>
      <c r="F327" s="1149">
        <f t="shared" si="19"/>
        <v>0</v>
      </c>
      <c r="G327" s="1149">
        <f t="shared" si="19"/>
        <v>0</v>
      </c>
      <c r="H327" s="1149">
        <f t="shared" si="19"/>
        <v>0</v>
      </c>
      <c r="I327" s="1149">
        <f t="shared" si="19"/>
        <v>0</v>
      </c>
      <c r="J327" s="1149">
        <f t="shared" si="19"/>
        <v>0</v>
      </c>
      <c r="K327" s="1149">
        <f t="shared" si="19"/>
        <v>0</v>
      </c>
      <c r="L327" s="1149">
        <f t="shared" si="19"/>
        <v>0</v>
      </c>
      <c r="M327" s="1149">
        <f t="shared" si="19"/>
        <v>0</v>
      </c>
      <c r="N327" s="1149">
        <f t="shared" si="19"/>
        <v>0</v>
      </c>
      <c r="O327" s="1149">
        <f t="shared" si="19"/>
        <v>0</v>
      </c>
      <c r="P327" s="1149">
        <f t="shared" si="19"/>
        <v>0</v>
      </c>
      <c r="Q327" s="1149">
        <f t="shared" si="19"/>
        <v>0</v>
      </c>
      <c r="R327" s="1149">
        <f t="shared" si="19"/>
        <v>0</v>
      </c>
      <c r="S327" s="1149">
        <f t="shared" si="19"/>
        <v>0</v>
      </c>
      <c r="T327" s="1149">
        <f t="shared" si="19"/>
        <v>0</v>
      </c>
      <c r="U327" s="1149">
        <f t="shared" si="19"/>
        <v>0</v>
      </c>
      <c r="V327" s="1149">
        <f t="shared" si="19"/>
        <v>0</v>
      </c>
      <c r="W327" s="1149">
        <f t="shared" si="19"/>
        <v>0</v>
      </c>
      <c r="X327" s="1149">
        <f t="shared" si="19"/>
        <v>0</v>
      </c>
      <c r="Y327" s="1149">
        <f t="shared" si="19"/>
        <v>0</v>
      </c>
      <c r="Z327" s="1149">
        <f t="shared" si="19"/>
        <v>0</v>
      </c>
      <c r="AA327" s="1149">
        <f t="shared" si="19"/>
        <v>0</v>
      </c>
      <c r="AB327" s="1149">
        <f t="shared" si="19"/>
        <v>0</v>
      </c>
      <c r="AC327" s="1149">
        <f t="shared" si="19"/>
        <v>0</v>
      </c>
      <c r="AD327" s="1149">
        <f t="shared" si="19"/>
        <v>0</v>
      </c>
      <c r="AE327" s="1149">
        <f t="shared" si="19"/>
        <v>0</v>
      </c>
      <c r="AF327" s="1149">
        <f t="shared" si="19"/>
        <v>0</v>
      </c>
      <c r="AG327" s="1149">
        <f t="shared" si="19"/>
        <v>0</v>
      </c>
      <c r="AH327" s="1149">
        <f t="shared" si="19"/>
        <v>0</v>
      </c>
      <c r="AI327" s="1149">
        <f t="shared" si="19"/>
        <v>0</v>
      </c>
      <c r="AJ327" s="1149">
        <f t="shared" si="19"/>
        <v>0</v>
      </c>
      <c r="AK327" s="1149">
        <f t="shared" si="19"/>
        <v>0</v>
      </c>
      <c r="AL327" s="1149">
        <f t="shared" si="19"/>
        <v>0</v>
      </c>
    </row>
    <row r="328" spans="1:38" ht="36" outlineLevel="1" x14ac:dyDescent="0.35">
      <c r="A328" s="1150" t="s">
        <v>1460</v>
      </c>
      <c r="B328" s="1151"/>
      <c r="C328" s="1152"/>
      <c r="D328" s="1153"/>
      <c r="E328" s="1154"/>
      <c r="F328" s="1155"/>
      <c r="G328" s="1155"/>
      <c r="H328" s="1155"/>
      <c r="I328" s="1155"/>
      <c r="J328" s="1155"/>
      <c r="K328" s="1155"/>
      <c r="L328" s="1155"/>
      <c r="M328" s="1155"/>
      <c r="N328" s="1155"/>
      <c r="O328" s="1155"/>
      <c r="P328" s="1155"/>
      <c r="Q328" s="1155"/>
      <c r="R328" s="1155"/>
      <c r="S328" s="1155"/>
      <c r="T328" s="1155"/>
      <c r="U328" s="1155"/>
      <c r="V328" s="1155"/>
      <c r="W328" s="1155"/>
      <c r="X328" s="1155"/>
      <c r="Y328" s="1155"/>
      <c r="Z328" s="1155"/>
      <c r="AA328" s="1155"/>
      <c r="AB328" s="1155"/>
      <c r="AC328" s="1155"/>
      <c r="AD328" s="1155"/>
      <c r="AE328" s="1155"/>
      <c r="AF328" s="1155"/>
      <c r="AG328" s="1155"/>
      <c r="AH328" s="1155"/>
      <c r="AI328" s="1155"/>
      <c r="AJ328" s="1156"/>
      <c r="AK328" s="1156"/>
      <c r="AL328" s="1157"/>
    </row>
    <row r="329" spans="1:38" hidden="1" outlineLevel="2" x14ac:dyDescent="0.3">
      <c r="A329" s="1158"/>
      <c r="B329" s="1159"/>
      <c r="C329" s="1160"/>
      <c r="D329" s="1161"/>
      <c r="E329" s="1162"/>
      <c r="F329" s="1163"/>
      <c r="G329" s="1163"/>
      <c r="H329" s="1163"/>
      <c r="I329" s="1163"/>
      <c r="J329" s="1163"/>
      <c r="K329" s="1163"/>
      <c r="L329" s="1163"/>
      <c r="M329" s="1163"/>
      <c r="N329" s="1163"/>
      <c r="O329" s="1163"/>
      <c r="P329" s="1163"/>
      <c r="Q329" s="1163"/>
      <c r="R329" s="1163"/>
      <c r="S329" s="1163"/>
      <c r="T329" s="1163"/>
      <c r="U329" s="1163"/>
      <c r="V329" s="1163"/>
      <c r="W329" s="1163"/>
      <c r="X329" s="1163"/>
      <c r="Y329" s="1163"/>
      <c r="Z329" s="1163"/>
      <c r="AA329" s="1163"/>
      <c r="AB329" s="1163"/>
      <c r="AC329" s="1163"/>
      <c r="AD329" s="1163"/>
      <c r="AE329" s="1163"/>
      <c r="AF329" s="1163"/>
      <c r="AG329" s="1163"/>
      <c r="AH329" s="1163"/>
      <c r="AI329" s="1163"/>
      <c r="AJ329" s="1164"/>
      <c r="AK329" s="1164"/>
      <c r="AL329" s="1165"/>
    </row>
    <row r="330" spans="1:38" hidden="1" outlineLevel="2" x14ac:dyDescent="0.3">
      <c r="A330" s="1158"/>
      <c r="B330" s="1159"/>
      <c r="C330" s="1160"/>
      <c r="D330" s="1161"/>
      <c r="E330" s="1162"/>
      <c r="F330" s="1163"/>
      <c r="G330" s="1163"/>
      <c r="H330" s="1163"/>
      <c r="I330" s="1163"/>
      <c r="J330" s="1163"/>
      <c r="K330" s="1163"/>
      <c r="L330" s="1163"/>
      <c r="M330" s="1163"/>
      <c r="N330" s="1163"/>
      <c r="O330" s="1163"/>
      <c r="P330" s="1163"/>
      <c r="Q330" s="1163"/>
      <c r="R330" s="1163"/>
      <c r="S330" s="1163"/>
      <c r="T330" s="1163"/>
      <c r="U330" s="1163"/>
      <c r="V330" s="1163"/>
      <c r="W330" s="1163"/>
      <c r="X330" s="1163"/>
      <c r="Y330" s="1163"/>
      <c r="Z330" s="1163"/>
      <c r="AA330" s="1163"/>
      <c r="AB330" s="1163"/>
      <c r="AC330" s="1163"/>
      <c r="AD330" s="1163"/>
      <c r="AE330" s="1163"/>
      <c r="AF330" s="1163"/>
      <c r="AG330" s="1163"/>
      <c r="AH330" s="1163"/>
      <c r="AI330" s="1163"/>
      <c r="AJ330" s="1164"/>
      <c r="AK330" s="1164"/>
      <c r="AL330" s="1165"/>
    </row>
    <row r="331" spans="1:38" hidden="1" outlineLevel="2" x14ac:dyDescent="0.3">
      <c r="A331" s="1158"/>
      <c r="B331" s="1159"/>
      <c r="C331" s="1160"/>
      <c r="D331" s="1161"/>
      <c r="E331" s="1162"/>
      <c r="F331" s="1163"/>
      <c r="G331" s="1163"/>
      <c r="H331" s="1163"/>
      <c r="I331" s="1163"/>
      <c r="J331" s="1163"/>
      <c r="K331" s="1163"/>
      <c r="L331" s="1163"/>
      <c r="M331" s="1163"/>
      <c r="N331" s="1163"/>
      <c r="O331" s="1163"/>
      <c r="P331" s="1163"/>
      <c r="Q331" s="1163"/>
      <c r="R331" s="1163"/>
      <c r="S331" s="1163"/>
      <c r="T331" s="1163"/>
      <c r="U331" s="1163"/>
      <c r="V331" s="1163"/>
      <c r="W331" s="1163"/>
      <c r="X331" s="1163"/>
      <c r="Y331" s="1163"/>
      <c r="Z331" s="1163"/>
      <c r="AA331" s="1163"/>
      <c r="AB331" s="1163"/>
      <c r="AC331" s="1163"/>
      <c r="AD331" s="1163"/>
      <c r="AE331" s="1163"/>
      <c r="AF331" s="1163"/>
      <c r="AG331" s="1163"/>
      <c r="AH331" s="1163"/>
      <c r="AI331" s="1163"/>
      <c r="AJ331" s="1164"/>
      <c r="AK331" s="1164"/>
      <c r="AL331" s="1165"/>
    </row>
    <row r="332" spans="1:38" hidden="1" outlineLevel="2" x14ac:dyDescent="0.3">
      <c r="A332" s="1158"/>
      <c r="B332" s="1166"/>
      <c r="C332" s="1167"/>
      <c r="D332" s="1168"/>
      <c r="E332" s="1169"/>
      <c r="F332" s="1170"/>
      <c r="G332" s="1170"/>
      <c r="H332" s="1170"/>
      <c r="I332" s="1170"/>
      <c r="J332" s="1170"/>
      <c r="K332" s="1170"/>
      <c r="L332" s="1170"/>
      <c r="M332" s="1170"/>
      <c r="N332" s="1170"/>
      <c r="O332" s="1170"/>
      <c r="P332" s="1170"/>
      <c r="Q332" s="1170"/>
      <c r="R332" s="1170"/>
      <c r="S332" s="1170"/>
      <c r="T332" s="1170"/>
      <c r="U332" s="1170"/>
      <c r="V332" s="1170"/>
      <c r="W332" s="1170"/>
      <c r="X332" s="1170"/>
      <c r="Y332" s="1170"/>
      <c r="Z332" s="1170"/>
      <c r="AA332" s="1170"/>
      <c r="AB332" s="1170"/>
      <c r="AC332" s="1170"/>
      <c r="AD332" s="1170"/>
      <c r="AE332" s="1170"/>
      <c r="AF332" s="1170"/>
      <c r="AG332" s="1170"/>
      <c r="AH332" s="1170"/>
      <c r="AI332" s="1170"/>
      <c r="AJ332" s="1171"/>
      <c r="AK332" s="1171"/>
      <c r="AL332" s="1172"/>
    </row>
    <row r="333" spans="1:38" hidden="1" outlineLevel="2" x14ac:dyDescent="0.3">
      <c r="A333" s="1158"/>
      <c r="B333" s="1166"/>
      <c r="C333" s="1167"/>
      <c r="D333" s="1168"/>
      <c r="E333" s="1169"/>
      <c r="F333" s="1170"/>
      <c r="G333" s="1170"/>
      <c r="H333" s="1170"/>
      <c r="I333" s="1170"/>
      <c r="J333" s="1170"/>
      <c r="K333" s="1170"/>
      <c r="L333" s="1170"/>
      <c r="M333" s="1170"/>
      <c r="N333" s="1170"/>
      <c r="O333" s="1170"/>
      <c r="P333" s="1170"/>
      <c r="Q333" s="1170"/>
      <c r="R333" s="1170"/>
      <c r="S333" s="1170"/>
      <c r="T333" s="1170"/>
      <c r="U333" s="1170"/>
      <c r="V333" s="1170"/>
      <c r="W333" s="1170"/>
      <c r="X333" s="1170"/>
      <c r="Y333" s="1170"/>
      <c r="Z333" s="1170"/>
      <c r="AA333" s="1170"/>
      <c r="AB333" s="1170"/>
      <c r="AC333" s="1170"/>
      <c r="AD333" s="1170"/>
      <c r="AE333" s="1170"/>
      <c r="AF333" s="1170"/>
      <c r="AG333" s="1170"/>
      <c r="AH333" s="1170"/>
      <c r="AI333" s="1170"/>
      <c r="AJ333" s="1171"/>
      <c r="AK333" s="1171"/>
      <c r="AL333" s="1172"/>
    </row>
    <row r="334" spans="1:38" hidden="1" outlineLevel="2" x14ac:dyDescent="0.3">
      <c r="A334" s="1158"/>
      <c r="B334" s="1166"/>
      <c r="C334" s="1167"/>
      <c r="D334" s="1168"/>
      <c r="E334" s="1169"/>
      <c r="F334" s="1170"/>
      <c r="G334" s="1170"/>
      <c r="H334" s="1170"/>
      <c r="I334" s="1170"/>
      <c r="J334" s="1170"/>
      <c r="K334" s="1170"/>
      <c r="L334" s="1170"/>
      <c r="M334" s="1170"/>
      <c r="N334" s="1170"/>
      <c r="O334" s="1170"/>
      <c r="P334" s="1170"/>
      <c r="Q334" s="1170"/>
      <c r="R334" s="1170"/>
      <c r="S334" s="1170"/>
      <c r="T334" s="1170"/>
      <c r="U334" s="1170"/>
      <c r="V334" s="1170"/>
      <c r="W334" s="1170"/>
      <c r="X334" s="1170"/>
      <c r="Y334" s="1170"/>
      <c r="Z334" s="1170"/>
      <c r="AA334" s="1170"/>
      <c r="AB334" s="1170"/>
      <c r="AC334" s="1170"/>
      <c r="AD334" s="1170"/>
      <c r="AE334" s="1170"/>
      <c r="AF334" s="1170"/>
      <c r="AG334" s="1170"/>
      <c r="AH334" s="1170"/>
      <c r="AI334" s="1170"/>
      <c r="AJ334" s="1171"/>
      <c r="AK334" s="1171"/>
      <c r="AL334" s="1172"/>
    </row>
    <row r="335" spans="1:38" hidden="1" outlineLevel="2" x14ac:dyDescent="0.3">
      <c r="A335" s="1158"/>
      <c r="B335" s="1166"/>
      <c r="C335" s="1167"/>
      <c r="D335" s="1168"/>
      <c r="E335" s="1169"/>
      <c r="F335" s="1170"/>
      <c r="G335" s="1170"/>
      <c r="H335" s="1170"/>
      <c r="I335" s="1170"/>
      <c r="J335" s="1170"/>
      <c r="K335" s="1170"/>
      <c r="L335" s="1170"/>
      <c r="M335" s="1170"/>
      <c r="N335" s="1170"/>
      <c r="O335" s="1170"/>
      <c r="P335" s="1170"/>
      <c r="Q335" s="1170"/>
      <c r="R335" s="1170"/>
      <c r="S335" s="1170"/>
      <c r="T335" s="1170"/>
      <c r="U335" s="1170"/>
      <c r="V335" s="1170"/>
      <c r="W335" s="1170"/>
      <c r="X335" s="1170"/>
      <c r="Y335" s="1170"/>
      <c r="Z335" s="1170"/>
      <c r="AA335" s="1170"/>
      <c r="AB335" s="1170"/>
      <c r="AC335" s="1170"/>
      <c r="AD335" s="1170"/>
      <c r="AE335" s="1170"/>
      <c r="AF335" s="1170"/>
      <c r="AG335" s="1170"/>
      <c r="AH335" s="1170"/>
      <c r="AI335" s="1170"/>
      <c r="AJ335" s="1171"/>
      <c r="AK335" s="1171"/>
      <c r="AL335" s="1172"/>
    </row>
    <row r="336" spans="1:38" hidden="1" outlineLevel="2" x14ac:dyDescent="0.3">
      <c r="A336" s="1158"/>
      <c r="B336" s="1166"/>
      <c r="C336" s="1167"/>
      <c r="D336" s="1168"/>
      <c r="E336" s="1169"/>
      <c r="F336" s="1170"/>
      <c r="G336" s="1170"/>
      <c r="H336" s="1170"/>
      <c r="I336" s="1170"/>
      <c r="J336" s="1170"/>
      <c r="K336" s="1170"/>
      <c r="L336" s="1170"/>
      <c r="M336" s="1170"/>
      <c r="N336" s="1170"/>
      <c r="O336" s="1170"/>
      <c r="P336" s="1170"/>
      <c r="Q336" s="1170"/>
      <c r="R336" s="1170"/>
      <c r="S336" s="1170"/>
      <c r="T336" s="1170"/>
      <c r="U336" s="1170"/>
      <c r="V336" s="1170"/>
      <c r="W336" s="1170"/>
      <c r="X336" s="1170"/>
      <c r="Y336" s="1170"/>
      <c r="Z336" s="1170"/>
      <c r="AA336" s="1170"/>
      <c r="AB336" s="1170"/>
      <c r="AC336" s="1170"/>
      <c r="AD336" s="1170"/>
      <c r="AE336" s="1170"/>
      <c r="AF336" s="1170"/>
      <c r="AG336" s="1170"/>
      <c r="AH336" s="1170"/>
      <c r="AI336" s="1170"/>
      <c r="AJ336" s="1171"/>
      <c r="AK336" s="1171"/>
      <c r="AL336" s="1172"/>
    </row>
    <row r="337" spans="1:38" hidden="1" outlineLevel="2" x14ac:dyDescent="0.3">
      <c r="A337" s="1158"/>
      <c r="B337" s="1166"/>
      <c r="C337" s="1167"/>
      <c r="D337" s="1168"/>
      <c r="E337" s="1169"/>
      <c r="F337" s="1170"/>
      <c r="G337" s="1170"/>
      <c r="H337" s="1170"/>
      <c r="I337" s="1170"/>
      <c r="J337" s="1170"/>
      <c r="K337" s="1170"/>
      <c r="L337" s="1170"/>
      <c r="M337" s="1170"/>
      <c r="N337" s="1170"/>
      <c r="O337" s="1170"/>
      <c r="P337" s="1170"/>
      <c r="Q337" s="1170"/>
      <c r="R337" s="1170"/>
      <c r="S337" s="1170"/>
      <c r="T337" s="1170"/>
      <c r="U337" s="1170"/>
      <c r="V337" s="1170"/>
      <c r="W337" s="1170"/>
      <c r="X337" s="1170"/>
      <c r="Y337" s="1170"/>
      <c r="Z337" s="1170"/>
      <c r="AA337" s="1170"/>
      <c r="AB337" s="1170"/>
      <c r="AC337" s="1170"/>
      <c r="AD337" s="1170"/>
      <c r="AE337" s="1170"/>
      <c r="AF337" s="1170"/>
      <c r="AG337" s="1170"/>
      <c r="AH337" s="1170"/>
      <c r="AI337" s="1170"/>
      <c r="AJ337" s="1171"/>
      <c r="AK337" s="1171"/>
      <c r="AL337" s="1172"/>
    </row>
    <row r="338" spans="1:38" ht="15" outlineLevel="1" collapsed="1" thickBot="1" x14ac:dyDescent="0.35">
      <c r="A338" s="1158"/>
      <c r="B338" s="1173" t="s">
        <v>550</v>
      </c>
      <c r="C338" s="1174"/>
      <c r="D338" s="1175"/>
      <c r="E338" s="1176">
        <f>SUBTOTAL(9,E329:E331)</f>
        <v>0</v>
      </c>
      <c r="F338" s="1177"/>
      <c r="G338" s="1177">
        <f>SUBTOTAL(9,G329:G331)</f>
        <v>0</v>
      </c>
      <c r="H338" s="1177"/>
      <c r="I338" s="1177">
        <f>SUBTOTAL(9,I329:I331)</f>
        <v>0</v>
      </c>
      <c r="J338" s="1177"/>
      <c r="K338" s="1177">
        <f>SUBTOTAL(9,K329:K331)</f>
        <v>0</v>
      </c>
      <c r="L338" s="1177"/>
      <c r="M338" s="1177">
        <f>SUBTOTAL(9,M329:M331)</f>
        <v>0</v>
      </c>
      <c r="N338" s="1177"/>
      <c r="O338" s="1177">
        <f>SUBTOTAL(9,O329:O331)</f>
        <v>0</v>
      </c>
      <c r="P338" s="1177"/>
      <c r="Q338" s="1177">
        <f>SUBTOTAL(9,Q329:Q331)</f>
        <v>0</v>
      </c>
      <c r="R338" s="1177"/>
      <c r="S338" s="1177">
        <f>SUBTOTAL(9,S329:S331)</f>
        <v>0</v>
      </c>
      <c r="T338" s="1177"/>
      <c r="U338" s="1177">
        <f>SUBTOTAL(9,U329:U331)</f>
        <v>0</v>
      </c>
      <c r="V338" s="1177"/>
      <c r="W338" s="1177">
        <f>SUBTOTAL(9,W329:W331)</f>
        <v>0</v>
      </c>
      <c r="X338" s="1177"/>
      <c r="Y338" s="1177">
        <f>SUBTOTAL(9,Y329:Y331)</f>
        <v>0</v>
      </c>
      <c r="Z338" s="1177"/>
      <c r="AA338" s="1177">
        <f>SUBTOTAL(9,AA329:AA331)</f>
        <v>0</v>
      </c>
      <c r="AB338" s="1177"/>
      <c r="AC338" s="1177">
        <f>SUBTOTAL(9,AC329:AC331)</f>
        <v>0</v>
      </c>
      <c r="AD338" s="1177"/>
      <c r="AE338" s="1177">
        <f>SUBTOTAL(9,AE329:AE331)</f>
        <v>0</v>
      </c>
      <c r="AF338" s="1177"/>
      <c r="AG338" s="1177">
        <f>SUBTOTAL(9,AG329:AG331)</f>
        <v>0</v>
      </c>
      <c r="AH338" s="1177"/>
      <c r="AI338" s="1177">
        <f>SUBTOTAL(9,AI329:AI331)</f>
        <v>0</v>
      </c>
      <c r="AJ338" s="1178"/>
      <c r="AK338" s="1178"/>
      <c r="AL338" s="1179"/>
    </row>
    <row r="339" spans="1:38" ht="18" outlineLevel="1" x14ac:dyDescent="0.35">
      <c r="A339" s="1180" t="s">
        <v>1464</v>
      </c>
      <c r="B339" s="1181"/>
      <c r="C339" s="1182"/>
      <c r="D339" s="1183"/>
      <c r="E339" s="1184"/>
      <c r="F339" s="1185"/>
      <c r="G339" s="1185"/>
      <c r="H339" s="1185"/>
      <c r="I339" s="1185"/>
      <c r="J339" s="1185"/>
      <c r="K339" s="1185"/>
      <c r="L339" s="1185"/>
      <c r="M339" s="1185"/>
      <c r="N339" s="1185"/>
      <c r="O339" s="1185"/>
      <c r="P339" s="1185"/>
      <c r="Q339" s="1185"/>
      <c r="R339" s="1185"/>
      <c r="S339" s="1185"/>
      <c r="T339" s="1185"/>
      <c r="U339" s="1185"/>
      <c r="V339" s="1185"/>
      <c r="W339" s="1185"/>
      <c r="X339" s="1185"/>
      <c r="Y339" s="1185"/>
      <c r="Z339" s="1185"/>
      <c r="AA339" s="1185"/>
      <c r="AB339" s="1185"/>
      <c r="AC339" s="1185"/>
      <c r="AD339" s="1185"/>
      <c r="AE339" s="1185"/>
      <c r="AF339" s="1185"/>
      <c r="AG339" s="1185"/>
      <c r="AH339" s="1185"/>
      <c r="AI339" s="1185"/>
      <c r="AJ339" s="1186"/>
      <c r="AK339" s="1186"/>
      <c r="AL339" s="1187"/>
    </row>
    <row r="340" spans="1:38" hidden="1" outlineLevel="2" x14ac:dyDescent="0.3">
      <c r="A340" s="1188"/>
      <c r="B340" s="1189"/>
      <c r="C340" s="1190"/>
      <c r="D340" s="1191"/>
      <c r="E340" s="1192"/>
      <c r="F340" s="1193"/>
      <c r="G340" s="1193"/>
      <c r="H340" s="1193"/>
      <c r="I340" s="1193"/>
      <c r="J340" s="1193"/>
      <c r="K340" s="1193"/>
      <c r="L340" s="1193"/>
      <c r="M340" s="1193"/>
      <c r="N340" s="1193"/>
      <c r="O340" s="1193"/>
      <c r="P340" s="1193"/>
      <c r="Q340" s="1193"/>
      <c r="R340" s="1193"/>
      <c r="S340" s="1193"/>
      <c r="T340" s="1193"/>
      <c r="U340" s="1193"/>
      <c r="V340" s="1193"/>
      <c r="W340" s="1193"/>
      <c r="X340" s="1193"/>
      <c r="Y340" s="1193"/>
      <c r="Z340" s="1193"/>
      <c r="AA340" s="1193"/>
      <c r="AB340" s="1193"/>
      <c r="AC340" s="1193"/>
      <c r="AD340" s="1193"/>
      <c r="AE340" s="1193"/>
      <c r="AF340" s="1193"/>
      <c r="AG340" s="1193"/>
      <c r="AH340" s="1193"/>
      <c r="AI340" s="1193"/>
      <c r="AJ340" s="1194"/>
      <c r="AK340" s="1194"/>
      <c r="AL340" s="1195"/>
    </row>
    <row r="341" spans="1:38" hidden="1" outlineLevel="2" x14ac:dyDescent="0.3">
      <c r="A341" s="1188"/>
      <c r="B341" s="1189"/>
      <c r="C341" s="1190"/>
      <c r="D341" s="1191"/>
      <c r="E341" s="1192"/>
      <c r="F341" s="1193"/>
      <c r="G341" s="1193"/>
      <c r="H341" s="1193"/>
      <c r="I341" s="1193"/>
      <c r="J341" s="1193"/>
      <c r="K341" s="1193"/>
      <c r="L341" s="1193"/>
      <c r="M341" s="1193"/>
      <c r="N341" s="1193"/>
      <c r="O341" s="1193"/>
      <c r="P341" s="1193"/>
      <c r="Q341" s="1193"/>
      <c r="R341" s="1193"/>
      <c r="S341" s="1193"/>
      <c r="T341" s="1193"/>
      <c r="U341" s="1193"/>
      <c r="V341" s="1193"/>
      <c r="W341" s="1193"/>
      <c r="X341" s="1193"/>
      <c r="Y341" s="1193"/>
      <c r="Z341" s="1193"/>
      <c r="AA341" s="1193"/>
      <c r="AB341" s="1193"/>
      <c r="AC341" s="1193"/>
      <c r="AD341" s="1193"/>
      <c r="AE341" s="1193"/>
      <c r="AF341" s="1193"/>
      <c r="AG341" s="1193"/>
      <c r="AH341" s="1193"/>
      <c r="AI341" s="1193"/>
      <c r="AJ341" s="1194"/>
      <c r="AK341" s="1194"/>
      <c r="AL341" s="1195"/>
    </row>
    <row r="342" spans="1:38" hidden="1" outlineLevel="2" x14ac:dyDescent="0.3">
      <c r="A342" s="1188"/>
      <c r="B342" s="1196"/>
      <c r="C342" s="1197"/>
      <c r="D342" s="1198"/>
      <c r="E342" s="1199"/>
      <c r="F342" s="1200"/>
      <c r="G342" s="1200"/>
      <c r="H342" s="1200"/>
      <c r="I342" s="1200"/>
      <c r="J342" s="1200"/>
      <c r="K342" s="1200"/>
      <c r="L342" s="1200"/>
      <c r="M342" s="1200"/>
      <c r="N342" s="1200"/>
      <c r="O342" s="1200"/>
      <c r="P342" s="1200"/>
      <c r="Q342" s="1200"/>
      <c r="R342" s="1200"/>
      <c r="S342" s="1200"/>
      <c r="T342" s="1200"/>
      <c r="U342" s="1200"/>
      <c r="V342" s="1200"/>
      <c r="W342" s="1200"/>
      <c r="X342" s="1200"/>
      <c r="Y342" s="1200"/>
      <c r="Z342" s="1200"/>
      <c r="AA342" s="1200"/>
      <c r="AB342" s="1200"/>
      <c r="AC342" s="1200"/>
      <c r="AD342" s="1200"/>
      <c r="AE342" s="1200"/>
      <c r="AF342" s="1200"/>
      <c r="AG342" s="1200"/>
      <c r="AH342" s="1200"/>
      <c r="AI342" s="1200"/>
      <c r="AJ342" s="1201"/>
      <c r="AK342" s="1201"/>
      <c r="AL342" s="1202"/>
    </row>
    <row r="343" spans="1:38" hidden="1" outlineLevel="2" x14ac:dyDescent="0.3">
      <c r="A343" s="1188"/>
      <c r="B343" s="1196"/>
      <c r="C343" s="1197"/>
      <c r="D343" s="1198"/>
      <c r="E343" s="1199"/>
      <c r="F343" s="1200"/>
      <c r="G343" s="1200"/>
      <c r="H343" s="1200"/>
      <c r="I343" s="1200"/>
      <c r="J343" s="1200"/>
      <c r="K343" s="1200"/>
      <c r="L343" s="1200"/>
      <c r="M343" s="1200"/>
      <c r="N343" s="1200"/>
      <c r="O343" s="1200"/>
      <c r="P343" s="1200"/>
      <c r="Q343" s="1200"/>
      <c r="R343" s="1200"/>
      <c r="S343" s="1200"/>
      <c r="T343" s="1200"/>
      <c r="U343" s="1200"/>
      <c r="V343" s="1200"/>
      <c r="W343" s="1200"/>
      <c r="X343" s="1200"/>
      <c r="Y343" s="1200"/>
      <c r="Z343" s="1200"/>
      <c r="AA343" s="1200"/>
      <c r="AB343" s="1200"/>
      <c r="AC343" s="1200"/>
      <c r="AD343" s="1200"/>
      <c r="AE343" s="1200"/>
      <c r="AF343" s="1200"/>
      <c r="AG343" s="1200"/>
      <c r="AH343" s="1200"/>
      <c r="AI343" s="1200"/>
      <c r="AJ343" s="1201"/>
      <c r="AK343" s="1201"/>
      <c r="AL343" s="1202"/>
    </row>
    <row r="344" spans="1:38" hidden="1" outlineLevel="2" x14ac:dyDescent="0.3">
      <c r="A344" s="1188"/>
      <c r="B344" s="1196"/>
      <c r="C344" s="1197"/>
      <c r="D344" s="1198"/>
      <c r="E344" s="1199"/>
      <c r="F344" s="1200"/>
      <c r="G344" s="1200"/>
      <c r="H344" s="1200"/>
      <c r="I344" s="1200"/>
      <c r="J344" s="1200"/>
      <c r="K344" s="1200"/>
      <c r="L344" s="1200"/>
      <c r="M344" s="1200"/>
      <c r="N344" s="1200"/>
      <c r="O344" s="1200"/>
      <c r="P344" s="1200"/>
      <c r="Q344" s="1200"/>
      <c r="R344" s="1200"/>
      <c r="S344" s="1200"/>
      <c r="T344" s="1200"/>
      <c r="U344" s="1200"/>
      <c r="V344" s="1200"/>
      <c r="W344" s="1200"/>
      <c r="X344" s="1200"/>
      <c r="Y344" s="1200"/>
      <c r="Z344" s="1200"/>
      <c r="AA344" s="1200"/>
      <c r="AB344" s="1200"/>
      <c r="AC344" s="1200"/>
      <c r="AD344" s="1200"/>
      <c r="AE344" s="1200"/>
      <c r="AF344" s="1200"/>
      <c r="AG344" s="1200"/>
      <c r="AH344" s="1200"/>
      <c r="AI344" s="1200"/>
      <c r="AJ344" s="1201"/>
      <c r="AK344" s="1201"/>
      <c r="AL344" s="1202"/>
    </row>
    <row r="345" spans="1:38" hidden="1" outlineLevel="2" x14ac:dyDescent="0.3">
      <c r="A345" s="1188"/>
      <c r="B345" s="1196"/>
      <c r="C345" s="1197"/>
      <c r="D345" s="1198"/>
      <c r="E345" s="1199"/>
      <c r="F345" s="1200"/>
      <c r="G345" s="1200"/>
      <c r="H345" s="1200"/>
      <c r="I345" s="1200"/>
      <c r="J345" s="1200"/>
      <c r="K345" s="1200"/>
      <c r="L345" s="1200"/>
      <c r="M345" s="1200"/>
      <c r="N345" s="1200"/>
      <c r="O345" s="1200"/>
      <c r="P345" s="1200"/>
      <c r="Q345" s="1200"/>
      <c r="R345" s="1200"/>
      <c r="S345" s="1200"/>
      <c r="T345" s="1200"/>
      <c r="U345" s="1200"/>
      <c r="V345" s="1200"/>
      <c r="W345" s="1200"/>
      <c r="X345" s="1200"/>
      <c r="Y345" s="1200"/>
      <c r="Z345" s="1200"/>
      <c r="AA345" s="1200"/>
      <c r="AB345" s="1200"/>
      <c r="AC345" s="1200"/>
      <c r="AD345" s="1200"/>
      <c r="AE345" s="1200"/>
      <c r="AF345" s="1200"/>
      <c r="AG345" s="1200"/>
      <c r="AH345" s="1200"/>
      <c r="AI345" s="1200"/>
      <c r="AJ345" s="1201"/>
      <c r="AK345" s="1201"/>
      <c r="AL345" s="1202"/>
    </row>
    <row r="346" spans="1:38" hidden="1" outlineLevel="2" x14ac:dyDescent="0.3">
      <c r="A346" s="1188"/>
      <c r="B346" s="1196"/>
      <c r="C346" s="1197"/>
      <c r="D346" s="1198"/>
      <c r="E346" s="1199"/>
      <c r="F346" s="1200"/>
      <c r="G346" s="1200"/>
      <c r="H346" s="1200"/>
      <c r="I346" s="1200"/>
      <c r="J346" s="1200"/>
      <c r="K346" s="1200"/>
      <c r="L346" s="1200"/>
      <c r="M346" s="1200"/>
      <c r="N346" s="1200"/>
      <c r="O346" s="1200"/>
      <c r="P346" s="1200"/>
      <c r="Q346" s="1200"/>
      <c r="R346" s="1200"/>
      <c r="S346" s="1200"/>
      <c r="T346" s="1200"/>
      <c r="U346" s="1200"/>
      <c r="V346" s="1200"/>
      <c r="W346" s="1200"/>
      <c r="X346" s="1200"/>
      <c r="Y346" s="1200"/>
      <c r="Z346" s="1200"/>
      <c r="AA346" s="1200"/>
      <c r="AB346" s="1200"/>
      <c r="AC346" s="1200"/>
      <c r="AD346" s="1200"/>
      <c r="AE346" s="1200"/>
      <c r="AF346" s="1200"/>
      <c r="AG346" s="1200"/>
      <c r="AH346" s="1200"/>
      <c r="AI346" s="1200"/>
      <c r="AJ346" s="1201"/>
      <c r="AK346" s="1201"/>
      <c r="AL346" s="1202"/>
    </row>
    <row r="347" spans="1:38" ht="15" outlineLevel="1" collapsed="1" thickBot="1" x14ac:dyDescent="0.35">
      <c r="A347" s="1188"/>
      <c r="B347" s="1203" t="s">
        <v>550</v>
      </c>
      <c r="C347" s="1204"/>
      <c r="D347" s="1205"/>
      <c r="E347" s="1206">
        <f>SUBTOTAL(9,E339:E341)</f>
        <v>0</v>
      </c>
      <c r="F347" s="1207"/>
      <c r="G347" s="1207">
        <f>SUBTOTAL(9,G339:G341)</f>
        <v>0</v>
      </c>
      <c r="H347" s="1207"/>
      <c r="I347" s="1207">
        <f>SUBTOTAL(9,I339:I341)</f>
        <v>0</v>
      </c>
      <c r="J347" s="1207"/>
      <c r="K347" s="1207">
        <f>SUBTOTAL(9,K339:K341)</f>
        <v>0</v>
      </c>
      <c r="L347" s="1207"/>
      <c r="M347" s="1207">
        <f>SUBTOTAL(9,M339:M341)</f>
        <v>0</v>
      </c>
      <c r="N347" s="1207"/>
      <c r="O347" s="1207">
        <f>SUBTOTAL(9,O339:O341)</f>
        <v>0</v>
      </c>
      <c r="P347" s="1207"/>
      <c r="Q347" s="1207">
        <f>SUBTOTAL(9,Q339:Q341)</f>
        <v>0</v>
      </c>
      <c r="R347" s="1207"/>
      <c r="S347" s="1207">
        <f>SUBTOTAL(9,S339:S341)</f>
        <v>0</v>
      </c>
      <c r="T347" s="1207"/>
      <c r="U347" s="1207">
        <f>SUBTOTAL(9,U339:U341)</f>
        <v>0</v>
      </c>
      <c r="V347" s="1207"/>
      <c r="W347" s="1207">
        <f>SUBTOTAL(9,W339:W341)</f>
        <v>0</v>
      </c>
      <c r="X347" s="1207"/>
      <c r="Y347" s="1207">
        <f>SUBTOTAL(9,Y339:Y341)</f>
        <v>0</v>
      </c>
      <c r="Z347" s="1207"/>
      <c r="AA347" s="1207">
        <f>SUBTOTAL(9,AA339:AA341)</f>
        <v>0</v>
      </c>
      <c r="AB347" s="1207"/>
      <c r="AC347" s="1207">
        <f>SUBTOTAL(9,AC339:AC341)</f>
        <v>0</v>
      </c>
      <c r="AD347" s="1207"/>
      <c r="AE347" s="1207">
        <f>SUBTOTAL(9,AE339:AE341)</f>
        <v>0</v>
      </c>
      <c r="AF347" s="1207"/>
      <c r="AG347" s="1207">
        <f>SUBTOTAL(9,AG339:AG341)</f>
        <v>0</v>
      </c>
      <c r="AH347" s="1207"/>
      <c r="AI347" s="1207">
        <f>SUBTOTAL(9,AI339:AI341)</f>
        <v>0</v>
      </c>
      <c r="AJ347" s="1208"/>
      <c r="AK347" s="1208"/>
      <c r="AL347" s="1209"/>
    </row>
    <row r="348" spans="1:38" x14ac:dyDescent="0.3">
      <c r="A348" s="98"/>
      <c r="B348" s="660"/>
      <c r="C348" s="660"/>
      <c r="D348" s="660"/>
      <c r="E348" s="941">
        <f>SUM(E347,E338,E327)</f>
        <v>0</v>
      </c>
      <c r="F348" s="941"/>
      <c r="G348" s="941">
        <f>SUM(G347,G338,G327)</f>
        <v>0</v>
      </c>
      <c r="H348" s="941"/>
      <c r="I348" s="941">
        <f>SUM(I347,I338,I327)</f>
        <v>0</v>
      </c>
      <c r="J348" s="941"/>
      <c r="K348" s="941">
        <v>9600</v>
      </c>
      <c r="L348" s="941"/>
      <c r="M348" s="941">
        <f>SUM(M347,M338,M327)</f>
        <v>0</v>
      </c>
      <c r="N348" s="941"/>
      <c r="O348" s="941">
        <f>SUM(O347,O338,O327)</f>
        <v>0</v>
      </c>
      <c r="P348" s="941"/>
      <c r="Q348" s="941">
        <f>SUM(Q347,Q338,Q327)</f>
        <v>0</v>
      </c>
      <c r="R348" s="941"/>
      <c r="S348" s="941">
        <f>SUM(S347,S338,S327)</f>
        <v>0</v>
      </c>
      <c r="T348" s="941"/>
      <c r="U348" s="941">
        <f>SUM(U347,U338,U327)</f>
        <v>0</v>
      </c>
      <c r="V348" s="941"/>
      <c r="W348" s="941">
        <f>SUM(W347,W338,W327)</f>
        <v>0</v>
      </c>
      <c r="X348" s="941"/>
      <c r="Y348" s="941">
        <f>SUM(Y347,Y338,Y327)</f>
        <v>0</v>
      </c>
      <c r="Z348" s="941"/>
      <c r="AA348" s="941">
        <f>SUM(AA347,AA338,AA327)</f>
        <v>0</v>
      </c>
      <c r="AB348" s="941"/>
      <c r="AC348" s="941">
        <f>SUM(AC347,AC338,AC327)</f>
        <v>0</v>
      </c>
      <c r="AD348" s="941"/>
      <c r="AE348" s="941">
        <f>SUM(AE347,AE338,AE327)</f>
        <v>0</v>
      </c>
      <c r="AF348" s="941"/>
      <c r="AG348" s="941">
        <f>SUM(AG347,AG338,AG327)</f>
        <v>0</v>
      </c>
      <c r="AH348" s="941"/>
      <c r="AI348" s="941">
        <f>SUM(AI347,AI338,AI327)</f>
        <v>0</v>
      </c>
      <c r="AJ348" s="941"/>
      <c r="AK348" s="941"/>
      <c r="AL348" s="941">
        <f>SUM(K348:AI348)-SUM(E348:I348)</f>
        <v>9600</v>
      </c>
    </row>
  </sheetData>
  <mergeCells count="1">
    <mergeCell ref="A32:D32"/>
  </mergeCells>
  <hyperlinks>
    <hyperlink ref="B11" location="Wiwi_AE_var" display="AE variabel" xr:uid="{00000000-0004-0000-0800-000000000000}"/>
    <hyperlink ref="B12" location="Wiwi_RK_Int." display="Fahrtkosten und Verpflegungspauschalen" xr:uid="{00000000-0004-0000-0800-000001000000}"/>
    <hyperlink ref="B13" location="Wiwi_R_U_Int." display="Raum- und Unterkunftskosten" xr:uid="{00000000-0004-0000-0800-000002000000}"/>
    <hyperlink ref="B14" location="Wiwi_Bew.Int." display="Bewirtung und Repräsentation intern" xr:uid="{00000000-0004-0000-0800-000003000000}"/>
    <hyperlink ref="B15" location="Wiwi_Hon_I" display="Honorare Fachseminare" xr:uid="{00000000-0004-0000-0800-000004000000}"/>
    <hyperlink ref="B16" location="Wiwi_Hon_II" display="Andere Honorare" xr:uid="{00000000-0004-0000-0800-000005000000}"/>
    <hyperlink ref="B17" location="Wiwi_R_U_Ext." display="Ext. Reisekosten" xr:uid="{00000000-0004-0000-0800-000006000000}"/>
    <hyperlink ref="B18" location="Wiwi_Bew.Ext." display="Bewirtung und Repräsentation extern" xr:uid="{00000000-0004-0000-0800-000007000000}"/>
    <hyperlink ref="B19" location="Wiwi_R_U_Ext." display="Raum- und Unterkunftskosten Seminare und Veranst." xr:uid="{00000000-0004-0000-0800-000008000000}"/>
    <hyperlink ref="B20" location="Wiwi_Druck" display="Druckkosten" xr:uid="{00000000-0004-0000-0800-000009000000}"/>
    <hyperlink ref="B21" location="Wiwi_Sonst." display="Sonstige Kosten (Lizenzen, Allg. Geschäftsbetrieb)" xr:uid="{00000000-0004-0000-0800-00000A000000}"/>
    <hyperlink ref="B22" location="Rechtsk.FSen" display="Rechtsangelegenheiten" xr:uid="{00000000-0004-0000-0800-00000B000000}"/>
    <hyperlink ref="B7" location="Wiwi_Sonst_Einnahmen" display="Sonstige Einnahmen (Vorauszahlungen Bewirtung, Werbung, …)" xr:uid="{00000000-0004-0000-0800-00000C000000}"/>
    <hyperlink ref="B6" location="Wiwi_TN_Beiträge_II" display="Teilnahmebeiträge Veranstaltungen" xr:uid="{00000000-0004-0000-0800-00000D000000}"/>
    <hyperlink ref="B5" location="Wiwi_TN_Beiträge_I" display="Teilnahmebeiträge Seminare" xr:uid="{00000000-0004-0000-0800-00000E000000}"/>
  </hyperlinks>
  <pageMargins left="0.7" right="0.7" top="0.78740157499999996" bottom="0.78740157499999996"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348"/>
  <sheetViews>
    <sheetView topLeftCell="A4" zoomScaleNormal="100" workbookViewId="0">
      <selection activeCell="A2" sqref="A2"/>
    </sheetView>
  </sheetViews>
  <sheetFormatPr baseColWidth="10"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1564</v>
      </c>
      <c r="G1" s="1274"/>
      <c r="L1" s="1274"/>
      <c r="N1" s="1274"/>
    </row>
    <row r="2" spans="1:17" ht="23.25" customHeight="1" thickBot="1" x14ac:dyDescent="0.35">
      <c r="G2" s="1274" t="s">
        <v>1517</v>
      </c>
      <c r="L2" s="1274"/>
      <c r="N2" s="1274"/>
    </row>
    <row r="3" spans="1:17" ht="34.5" customHeight="1" thickBot="1" x14ac:dyDescent="0.35">
      <c r="A3" s="1080" t="s">
        <v>1</v>
      </c>
      <c r="B3" s="363" t="s">
        <v>4</v>
      </c>
      <c r="C3" s="1081" t="s">
        <v>717</v>
      </c>
      <c r="D3" s="385" t="s">
        <v>718</v>
      </c>
      <c r="E3" s="1247" t="s">
        <v>1510</v>
      </c>
      <c r="F3" s="1284" t="s">
        <v>1509</v>
      </c>
      <c r="G3" s="1289" t="s">
        <v>1397</v>
      </c>
      <c r="H3" s="1248" t="s">
        <v>1398</v>
      </c>
      <c r="I3" s="1250" t="s">
        <v>1399</v>
      </c>
      <c r="J3" s="1249" t="s">
        <v>1370</v>
      </c>
      <c r="K3" s="1269" t="s">
        <v>1400</v>
      </c>
      <c r="L3" s="1275" t="s">
        <v>719</v>
      </c>
      <c r="M3" s="1299" t="s">
        <v>720</v>
      </c>
      <c r="N3" s="1275" t="s">
        <v>721</v>
      </c>
      <c r="O3" s="233" t="s">
        <v>7</v>
      </c>
      <c r="P3" s="234" t="s">
        <v>722</v>
      </c>
      <c r="Q3" s="667" t="s">
        <v>723</v>
      </c>
    </row>
    <row r="4" spans="1:17" x14ac:dyDescent="0.3">
      <c r="A4" s="191" t="s">
        <v>724</v>
      </c>
      <c r="B4" s="173"/>
      <c r="C4" s="173"/>
      <c r="D4" s="173"/>
      <c r="E4" s="1043"/>
      <c r="F4" s="1285"/>
      <c r="G4" s="1290"/>
      <c r="H4" s="1082"/>
      <c r="I4" s="173"/>
      <c r="J4" s="1083"/>
      <c r="K4" s="52"/>
      <c r="L4" s="1276"/>
      <c r="M4" s="1300"/>
      <c r="N4" s="1306"/>
      <c r="O4" s="174"/>
      <c r="P4" s="50"/>
      <c r="Q4" s="80"/>
    </row>
    <row r="5" spans="1:17" x14ac:dyDescent="0.3">
      <c r="A5" s="175" t="s">
        <v>69</v>
      </c>
      <c r="B5" s="210" t="s">
        <v>650</v>
      </c>
      <c r="C5" s="146"/>
      <c r="D5" s="146"/>
      <c r="E5" s="1253">
        <v>4500</v>
      </c>
      <c r="F5" s="1286">
        <f>E$111</f>
        <v>0</v>
      </c>
      <c r="G5" s="1291"/>
      <c r="H5" s="1084">
        <f>E190</f>
        <v>0</v>
      </c>
      <c r="I5" s="743"/>
      <c r="J5" s="1085">
        <f>E269</f>
        <v>0</v>
      </c>
      <c r="K5" s="1264"/>
      <c r="L5" s="1277"/>
      <c r="M5" s="1301">
        <f>E$348</f>
        <v>0</v>
      </c>
      <c r="N5" s="1307"/>
      <c r="O5" s="743"/>
      <c r="P5" s="176"/>
      <c r="Q5" s="146"/>
    </row>
    <row r="6" spans="1:17" x14ac:dyDescent="0.3">
      <c r="A6" s="175" t="s">
        <v>83</v>
      </c>
      <c r="B6" s="210" t="s">
        <v>651</v>
      </c>
      <c r="C6" s="146"/>
      <c r="D6" s="146"/>
      <c r="E6" s="1245"/>
      <c r="F6" s="1286">
        <f>G$111</f>
        <v>0</v>
      </c>
      <c r="G6" s="1291"/>
      <c r="H6" s="1084">
        <f>G190</f>
        <v>0</v>
      </c>
      <c r="I6" s="743"/>
      <c r="J6" s="1085">
        <f>G269</f>
        <v>0</v>
      </c>
      <c r="K6" s="1264"/>
      <c r="L6" s="1277"/>
      <c r="M6" s="1301">
        <f>G$348</f>
        <v>0</v>
      </c>
      <c r="N6" s="1307"/>
      <c r="O6" s="743"/>
      <c r="P6" s="176"/>
      <c r="Q6" s="146"/>
    </row>
    <row r="7" spans="1:17" ht="15" thickBot="1" x14ac:dyDescent="0.35">
      <c r="A7" s="175" t="s">
        <v>90</v>
      </c>
      <c r="B7" s="210" t="s">
        <v>725</v>
      </c>
      <c r="C7" s="146"/>
      <c r="D7" s="146"/>
      <c r="E7" s="1245"/>
      <c r="F7" s="1286">
        <f>I$111</f>
        <v>0</v>
      </c>
      <c r="G7" s="1291"/>
      <c r="H7" s="1084">
        <f>I190</f>
        <v>0</v>
      </c>
      <c r="I7" s="743"/>
      <c r="J7" s="1085">
        <f>I269</f>
        <v>0</v>
      </c>
      <c r="K7" s="1264"/>
      <c r="L7" s="1277"/>
      <c r="M7" s="1301">
        <f>I$348</f>
        <v>0</v>
      </c>
      <c r="N7" s="1307"/>
      <c r="O7" s="743"/>
      <c r="P7" s="176"/>
      <c r="Q7" s="146"/>
    </row>
    <row r="8" spans="1:17" ht="15" thickBot="1" x14ac:dyDescent="0.35">
      <c r="A8" s="177"/>
      <c r="B8" s="178"/>
      <c r="C8" s="178"/>
      <c r="D8" s="178" t="s">
        <v>556</v>
      </c>
      <c r="E8" s="1086">
        <f t="shared" ref="E8:K8" si="0">SUBTOTAL(9,E5:E7)</f>
        <v>4500</v>
      </c>
      <c r="F8" s="1086">
        <f t="shared" si="0"/>
        <v>0</v>
      </c>
      <c r="G8" s="1292">
        <f t="shared" si="0"/>
        <v>0</v>
      </c>
      <c r="H8" s="1086">
        <f t="shared" si="0"/>
        <v>0</v>
      </c>
      <c r="I8" s="1087">
        <f t="shared" si="0"/>
        <v>0</v>
      </c>
      <c r="J8" s="1088">
        <f t="shared" si="0"/>
        <v>0</v>
      </c>
      <c r="K8" s="1270">
        <f t="shared" si="0"/>
        <v>0</v>
      </c>
      <c r="L8" s="1278">
        <f>SUBTOTAL(9,L5:L7)</f>
        <v>0</v>
      </c>
      <c r="M8" s="1302">
        <f>SUBTOTAL(9,M5:M7)</f>
        <v>0</v>
      </c>
      <c r="N8" s="1278">
        <f>SUBTOTAL(9,N5:N7)</f>
        <v>0</v>
      </c>
      <c r="O8" s="167">
        <f>SUBTOTAL(9,O5:O7)</f>
        <v>0</v>
      </c>
      <c r="P8" s="179"/>
      <c r="Q8" s="659"/>
    </row>
    <row r="9" spans="1:17" x14ac:dyDescent="0.3">
      <c r="A9" s="180" t="s">
        <v>119</v>
      </c>
      <c r="B9" s="181"/>
      <c r="C9" s="181"/>
      <c r="D9" s="181"/>
      <c r="E9" s="1028"/>
      <c r="F9" s="1287"/>
      <c r="G9" s="1293"/>
      <c r="H9" s="1089"/>
      <c r="I9" s="181"/>
      <c r="J9" s="1090"/>
      <c r="K9" s="1271"/>
      <c r="L9" s="1279"/>
      <c r="M9" s="1303"/>
      <c r="N9" s="1279"/>
      <c r="O9" s="181"/>
      <c r="P9" s="182"/>
      <c r="Q9" s="146"/>
    </row>
    <row r="10" spans="1:17" x14ac:dyDescent="0.3">
      <c r="A10" s="183" t="s">
        <v>134</v>
      </c>
      <c r="B10" s="146" t="s">
        <v>726</v>
      </c>
      <c r="C10" s="146"/>
      <c r="D10" s="146"/>
      <c r="E10" s="1253">
        <v>9600</v>
      </c>
      <c r="F10" s="1286">
        <v>9600</v>
      </c>
      <c r="G10" s="1291">
        <v>9600</v>
      </c>
      <c r="H10" s="1091">
        <v>9600</v>
      </c>
      <c r="I10" s="1092">
        <v>9600</v>
      </c>
      <c r="J10" s="1093">
        <f>800*12</f>
        <v>9600</v>
      </c>
      <c r="K10" s="1272"/>
      <c r="L10" s="1280"/>
      <c r="M10" s="1304">
        <f>800*12</f>
        <v>9600</v>
      </c>
      <c r="N10" s="1308"/>
      <c r="O10" s="743"/>
      <c r="P10" s="176"/>
      <c r="Q10" s="146"/>
    </row>
    <row r="11" spans="1:17" x14ac:dyDescent="0.3">
      <c r="A11" s="183" t="s">
        <v>136</v>
      </c>
      <c r="B11" s="210" t="s">
        <v>727</v>
      </c>
      <c r="C11" s="146"/>
      <c r="D11" s="146"/>
      <c r="E11" s="1253">
        <v>2000</v>
      </c>
      <c r="F11" s="1286">
        <f>M$111</f>
        <v>0</v>
      </c>
      <c r="G11" s="1294"/>
      <c r="H11" s="1091">
        <f>M$190</f>
        <v>0</v>
      </c>
      <c r="I11" s="1092"/>
      <c r="J11" s="1094">
        <f>M$269</f>
        <v>0</v>
      </c>
      <c r="K11" s="116"/>
      <c r="L11" s="1277"/>
      <c r="M11" s="1305">
        <f>M$348</f>
        <v>0</v>
      </c>
      <c r="N11" s="1307"/>
      <c r="O11" s="743"/>
      <c r="P11" s="176"/>
      <c r="Q11" s="146"/>
    </row>
    <row r="12" spans="1:17" x14ac:dyDescent="0.3">
      <c r="A12" s="183" t="s">
        <v>728</v>
      </c>
      <c r="B12" s="210" t="s">
        <v>729</v>
      </c>
      <c r="C12" s="146"/>
      <c r="D12" s="146"/>
      <c r="E12" s="1253">
        <v>2000</v>
      </c>
      <c r="F12" s="1286">
        <f>O$111</f>
        <v>0</v>
      </c>
      <c r="G12" s="1294"/>
      <c r="H12" s="1091">
        <f>O$190</f>
        <v>0</v>
      </c>
      <c r="I12" s="1092"/>
      <c r="J12" s="1094">
        <f>O$269</f>
        <v>0</v>
      </c>
      <c r="K12" s="116"/>
      <c r="L12" s="1277"/>
      <c r="M12" s="1305">
        <f>O$348</f>
        <v>0</v>
      </c>
      <c r="N12" s="1307"/>
      <c r="O12" s="743"/>
      <c r="P12" s="176"/>
      <c r="Q12" s="146"/>
    </row>
    <row r="13" spans="1:17" x14ac:dyDescent="0.3">
      <c r="A13" s="183" t="s">
        <v>266</v>
      </c>
      <c r="B13" s="210" t="s">
        <v>730</v>
      </c>
      <c r="C13" s="184"/>
      <c r="D13" s="184"/>
      <c r="E13" s="1252">
        <v>1500</v>
      </c>
      <c r="F13" s="1286">
        <f>Q$111</f>
        <v>0</v>
      </c>
      <c r="G13" s="1295"/>
      <c r="H13" s="1091">
        <f>Q$190</f>
        <v>0</v>
      </c>
      <c r="I13" s="1095"/>
      <c r="J13" s="1094">
        <f>Q$269</f>
        <v>0</v>
      </c>
      <c r="K13" s="116"/>
      <c r="L13" s="1277"/>
      <c r="M13" s="1305">
        <f>Q$348</f>
        <v>0</v>
      </c>
      <c r="N13" s="1307"/>
      <c r="O13" s="744"/>
      <c r="P13" s="185"/>
      <c r="Q13" s="146"/>
    </row>
    <row r="14" spans="1:17" x14ac:dyDescent="0.3">
      <c r="A14" s="183" t="s">
        <v>292</v>
      </c>
      <c r="B14" s="212" t="s">
        <v>731</v>
      </c>
      <c r="C14" s="80"/>
      <c r="D14" s="80"/>
      <c r="E14" s="1254">
        <v>500</v>
      </c>
      <c r="F14" s="1286">
        <f>S$111</f>
        <v>0</v>
      </c>
      <c r="G14" s="1296"/>
      <c r="H14" s="1091">
        <f>S$190</f>
        <v>0</v>
      </c>
      <c r="I14" s="1096"/>
      <c r="J14" s="1094">
        <f>S$269</f>
        <v>0</v>
      </c>
      <c r="K14" s="116"/>
      <c r="L14" s="1277"/>
      <c r="M14" s="1305">
        <f>S$348</f>
        <v>0</v>
      </c>
      <c r="N14" s="1307"/>
      <c r="O14" s="745"/>
      <c r="P14" s="186"/>
      <c r="Q14" s="80"/>
    </row>
    <row r="15" spans="1:17" x14ac:dyDescent="0.3">
      <c r="A15" s="183" t="s">
        <v>335</v>
      </c>
      <c r="B15" s="210" t="s">
        <v>732</v>
      </c>
      <c r="C15" s="146"/>
      <c r="D15" s="146"/>
      <c r="E15" s="1253">
        <v>5000</v>
      </c>
      <c r="F15" s="1286">
        <f>U$111</f>
        <v>0</v>
      </c>
      <c r="G15" s="1294"/>
      <c r="H15" s="1091">
        <f>U$190</f>
        <v>0</v>
      </c>
      <c r="I15" s="1092"/>
      <c r="J15" s="1094">
        <f>U$269</f>
        <v>0</v>
      </c>
      <c r="K15" s="116"/>
      <c r="L15" s="1277"/>
      <c r="M15" s="1305">
        <f>U$348</f>
        <v>0</v>
      </c>
      <c r="N15" s="1307"/>
      <c r="O15" s="743"/>
      <c r="P15" s="176"/>
      <c r="Q15" s="146"/>
    </row>
    <row r="16" spans="1:17" x14ac:dyDescent="0.3">
      <c r="A16" s="183" t="s">
        <v>346</v>
      </c>
      <c r="B16" s="211" t="s">
        <v>318</v>
      </c>
      <c r="C16" s="80"/>
      <c r="D16" s="80"/>
      <c r="E16" s="1254">
        <v>1000</v>
      </c>
      <c r="F16" s="1286">
        <f>W$111</f>
        <v>0</v>
      </c>
      <c r="G16" s="1296"/>
      <c r="H16" s="1091">
        <f>W$190</f>
        <v>0</v>
      </c>
      <c r="I16" s="1096"/>
      <c r="J16" s="1094">
        <f>W$269</f>
        <v>0</v>
      </c>
      <c r="K16" s="116"/>
      <c r="L16" s="1277"/>
      <c r="M16" s="1305">
        <f>W$348</f>
        <v>0</v>
      </c>
      <c r="N16" s="1307"/>
      <c r="O16" s="745"/>
      <c r="P16" s="186"/>
      <c r="Q16" s="80"/>
    </row>
    <row r="17" spans="1:38" x14ac:dyDescent="0.3">
      <c r="A17" s="183" t="s">
        <v>357</v>
      </c>
      <c r="B17" s="211" t="s">
        <v>733</v>
      </c>
      <c r="C17" s="80"/>
      <c r="D17" s="80"/>
      <c r="E17" s="1254">
        <v>500</v>
      </c>
      <c r="F17" s="1286">
        <f>Y$111</f>
        <v>0</v>
      </c>
      <c r="G17" s="1296"/>
      <c r="H17" s="1091">
        <f>Y$190</f>
        <v>0</v>
      </c>
      <c r="I17" s="1096"/>
      <c r="J17" s="1094">
        <f>Y$269</f>
        <v>0</v>
      </c>
      <c r="K17" s="116"/>
      <c r="L17" s="1277"/>
      <c r="M17" s="1305">
        <f>Y$348</f>
        <v>0</v>
      </c>
      <c r="N17" s="1307"/>
      <c r="O17" s="745"/>
      <c r="P17" s="186"/>
      <c r="Q17" s="80"/>
    </row>
    <row r="18" spans="1:38" x14ac:dyDescent="0.3">
      <c r="A18" s="183" t="s">
        <v>364</v>
      </c>
      <c r="B18" s="211" t="s">
        <v>363</v>
      </c>
      <c r="C18" s="80"/>
      <c r="D18" s="80"/>
      <c r="E18" s="1254">
        <v>300</v>
      </c>
      <c r="F18" s="1286">
        <f>AA$111</f>
        <v>0</v>
      </c>
      <c r="G18" s="1296"/>
      <c r="H18" s="1091">
        <f>AA$190</f>
        <v>0</v>
      </c>
      <c r="I18" s="1096"/>
      <c r="J18" s="1094">
        <f>AA$269</f>
        <v>0</v>
      </c>
      <c r="K18" s="116"/>
      <c r="L18" s="1277"/>
      <c r="M18" s="1305">
        <f>AA$348</f>
        <v>0</v>
      </c>
      <c r="N18" s="1307"/>
      <c r="O18" s="745"/>
      <c r="P18" s="186"/>
      <c r="Q18" s="80"/>
    </row>
    <row r="19" spans="1:38" x14ac:dyDescent="0.3">
      <c r="A19" s="183" t="s">
        <v>376</v>
      </c>
      <c r="B19" s="211" t="s">
        <v>734</v>
      </c>
      <c r="C19" s="80"/>
      <c r="D19" s="80"/>
      <c r="E19" s="1254">
        <v>500</v>
      </c>
      <c r="F19" s="1286">
        <f>AC$111</f>
        <v>0</v>
      </c>
      <c r="G19" s="1296"/>
      <c r="H19" s="1091">
        <f>AC$190</f>
        <v>0</v>
      </c>
      <c r="I19" s="1096"/>
      <c r="J19" s="1094">
        <f>AC$269</f>
        <v>0</v>
      </c>
      <c r="K19" s="116"/>
      <c r="L19" s="1277"/>
      <c r="M19" s="1305">
        <f>AC$348</f>
        <v>0</v>
      </c>
      <c r="N19" s="1307"/>
      <c r="O19" s="745"/>
      <c r="P19" s="186"/>
      <c r="Q19" s="80"/>
    </row>
    <row r="20" spans="1:38" x14ac:dyDescent="0.3">
      <c r="A20" s="183" t="s">
        <v>386</v>
      </c>
      <c r="B20" s="212" t="s">
        <v>1229</v>
      </c>
      <c r="C20" s="80"/>
      <c r="D20" s="80"/>
      <c r="E20" s="1254">
        <v>500</v>
      </c>
      <c r="F20" s="1286">
        <f>AE$111</f>
        <v>0</v>
      </c>
      <c r="G20" s="1296"/>
      <c r="H20" s="1091">
        <f>AE$190</f>
        <v>0</v>
      </c>
      <c r="I20" s="1096"/>
      <c r="J20" s="1094">
        <f>AE$269</f>
        <v>0</v>
      </c>
      <c r="K20" s="116"/>
      <c r="L20" s="1277"/>
      <c r="M20" s="1305">
        <f>AE$348</f>
        <v>0</v>
      </c>
      <c r="N20" s="1307"/>
      <c r="O20" s="745"/>
      <c r="P20" s="186"/>
      <c r="Q20" s="80"/>
    </row>
    <row r="21" spans="1:38" x14ac:dyDescent="0.3">
      <c r="A21" s="183" t="s">
        <v>398</v>
      </c>
      <c r="B21" s="212" t="s">
        <v>397</v>
      </c>
      <c r="C21" s="80"/>
      <c r="D21" s="80"/>
      <c r="E21" s="1254">
        <v>500</v>
      </c>
      <c r="F21" s="1286">
        <f>AG$111</f>
        <v>0</v>
      </c>
      <c r="G21" s="1296"/>
      <c r="H21" s="1091">
        <f>AG$190</f>
        <v>0</v>
      </c>
      <c r="I21" s="1096"/>
      <c r="J21" s="1094">
        <f>AG$269</f>
        <v>0</v>
      </c>
      <c r="K21" s="116"/>
      <c r="L21" s="1277"/>
      <c r="M21" s="1305">
        <f>AG$348</f>
        <v>0</v>
      </c>
      <c r="N21" s="1307"/>
      <c r="O21" s="745"/>
      <c r="P21" s="186"/>
      <c r="Q21" s="80"/>
    </row>
    <row r="22" spans="1:38" ht="15" thickBot="1" x14ac:dyDescent="0.35">
      <c r="A22" s="183" t="s">
        <v>424</v>
      </c>
      <c r="B22" s="212" t="s">
        <v>675</v>
      </c>
      <c r="C22" s="80"/>
      <c r="D22" s="80"/>
      <c r="E22" s="1254">
        <v>300</v>
      </c>
      <c r="F22" s="1286">
        <f>AI$111</f>
        <v>0</v>
      </c>
      <c r="G22" s="1296"/>
      <c r="H22" s="1091">
        <f>AI$190</f>
        <v>0</v>
      </c>
      <c r="I22" s="1096"/>
      <c r="J22" s="1094">
        <f>AI$269</f>
        <v>0</v>
      </c>
      <c r="K22" s="116"/>
      <c r="L22" s="1281"/>
      <c r="M22" s="1305">
        <f>AI$348</f>
        <v>0</v>
      </c>
      <c r="N22" s="1309"/>
      <c r="O22" s="745"/>
      <c r="P22" s="186"/>
      <c r="Q22" s="80"/>
    </row>
    <row r="23" spans="1:38" ht="15" thickBot="1" x14ac:dyDescent="0.35">
      <c r="A23" s="187"/>
      <c r="B23" s="188"/>
      <c r="C23" s="188"/>
      <c r="D23" s="189" t="s">
        <v>556</v>
      </c>
      <c r="E23" s="194">
        <f t="shared" ref="E23:K23" si="1">SUBTOTAL(109,E10:E22)</f>
        <v>24200</v>
      </c>
      <c r="F23" s="1288">
        <f t="shared" si="1"/>
        <v>9600</v>
      </c>
      <c r="G23" s="1297">
        <f t="shared" si="1"/>
        <v>9600</v>
      </c>
      <c r="H23" s="194">
        <f t="shared" si="1"/>
        <v>9600</v>
      </c>
      <c r="I23" s="1311">
        <f t="shared" si="1"/>
        <v>9600</v>
      </c>
      <c r="J23" s="1098">
        <f t="shared" si="1"/>
        <v>9600</v>
      </c>
      <c r="K23" s="1273">
        <f t="shared" si="1"/>
        <v>0</v>
      </c>
      <c r="L23" s="1282">
        <f>SUBTOTAL(109,L10:L22)</f>
        <v>0</v>
      </c>
      <c r="M23" s="1273">
        <f>SUBTOTAL(109,M10:M22)</f>
        <v>9600</v>
      </c>
      <c r="N23" s="1310">
        <f>SUBTOTAL(109,N10:N22)</f>
        <v>0</v>
      </c>
      <c r="O23" s="171">
        <f>SUBTOTAL(109,O10:O22)</f>
        <v>0</v>
      </c>
      <c r="P23" s="190"/>
      <c r="Q23" s="1268"/>
    </row>
    <row r="24" spans="1:38" x14ac:dyDescent="0.3">
      <c r="A24" s="77"/>
      <c r="B24" s="76"/>
      <c r="C24" s="76"/>
      <c r="D24" s="76"/>
      <c r="E24" s="76"/>
      <c r="F24" s="76"/>
      <c r="G24" s="1298"/>
      <c r="H24" s="76"/>
      <c r="L24" s="1274"/>
      <c r="N24" s="1274"/>
    </row>
    <row r="25" spans="1:38" x14ac:dyDescent="0.3">
      <c r="A25" s="77"/>
      <c r="B25" s="76"/>
      <c r="C25" s="76"/>
      <c r="D25" s="192" t="s">
        <v>735</v>
      </c>
      <c r="E25" s="1283">
        <f>E8-Tabelle1896675[[#Totals],[Freie Eingabe HHJ 24-25]]</f>
        <v>-19700</v>
      </c>
      <c r="F25" s="1283">
        <f>F8-Tabelle1896675[[#Totals],[Rechnung HHJ 24-25]]</f>
        <v>-9600</v>
      </c>
      <c r="G25" s="1283">
        <f>G8-Tabelle1896675[[#Totals],[Freie Eingabe NHH 23-24]]</f>
        <v>-9600</v>
      </c>
      <c r="H25" s="1099">
        <f>H8-Tabelle1896675[[#Totals],[Rechnung NHH 23-24]]</f>
        <v>-9600</v>
      </c>
      <c r="I25" s="1099">
        <f>I8-Tabelle1896675[[#Totals],[Freie Eingabe HHJ 23-24]]</f>
        <v>-9600</v>
      </c>
      <c r="J25" s="1099">
        <f>J8-Tabelle1896675[[#Totals],[Rechnung HHJ 23-24]]</f>
        <v>-9600</v>
      </c>
      <c r="K25" s="1099">
        <f>K8-Tabelle1896675[[#Totals],[IST HHJ 23-24]]</f>
        <v>0</v>
      </c>
      <c r="L25" s="1283">
        <f>L8-Tabelle1896675[[#Totals],[Freie Eingabe Plan HHJ 22-23]]</f>
        <v>0</v>
      </c>
      <c r="M25" s="1099">
        <f>M8-Tabelle1896675[[#Totals],[Rechnung HHJ 22-23]]</f>
        <v>-9600</v>
      </c>
      <c r="N25" s="1283">
        <f>N8-Tabelle1896675[[#Totals],[Freie Eingabe Plan HHJ 21-22]]</f>
        <v>0</v>
      </c>
      <c r="O25" s="1099">
        <f>O8-Tabelle1896675[[#Totals],[IST HHJ 21-22]]</f>
        <v>0</v>
      </c>
    </row>
    <row r="26" spans="1:38" x14ac:dyDescent="0.3">
      <c r="A26" s="77"/>
      <c r="B26" s="76"/>
      <c r="C26" s="76"/>
      <c r="D26" s="192"/>
      <c r="E26" s="1099"/>
      <c r="F26" s="1099"/>
      <c r="G26" s="1283"/>
      <c r="H26" s="1099"/>
      <c r="I26" s="1099"/>
      <c r="J26" s="1099"/>
      <c r="K26" s="1099"/>
      <c r="L26" s="1283"/>
      <c r="M26" s="1099"/>
      <c r="N26" s="1283"/>
    </row>
    <row r="27" spans="1:38" x14ac:dyDescent="0.3">
      <c r="A27" s="77"/>
      <c r="B27" s="76"/>
      <c r="C27" s="76"/>
      <c r="D27" s="192"/>
      <c r="E27" s="1099"/>
      <c r="F27" s="1099"/>
      <c r="G27" s="1283"/>
      <c r="H27" s="1099"/>
      <c r="I27" s="1099"/>
      <c r="J27" s="1099"/>
      <c r="K27" s="1099"/>
      <c r="L27" s="1283"/>
      <c r="M27" s="1099"/>
      <c r="N27" s="1283"/>
    </row>
    <row r="28" spans="1:38" s="1104" customFormat="1" x14ac:dyDescent="0.3">
      <c r="A28" s="1100"/>
      <c r="B28" s="1101"/>
      <c r="C28" s="1101"/>
      <c r="D28" s="1102"/>
      <c r="E28" s="1103"/>
      <c r="F28" s="1103"/>
      <c r="G28" s="1103"/>
      <c r="H28" s="1103"/>
      <c r="I28" s="1103"/>
      <c r="J28" s="1103"/>
      <c r="K28" s="1103"/>
      <c r="L28" s="1103"/>
      <c r="M28" s="1103"/>
      <c r="N28" s="1103"/>
    </row>
    <row r="29" spans="1:38" x14ac:dyDescent="0.3">
      <c r="A29" s="77"/>
      <c r="B29" s="76"/>
      <c r="C29" s="76"/>
      <c r="D29" s="76"/>
      <c r="E29" s="76"/>
      <c r="F29" s="76"/>
      <c r="G29" s="76"/>
      <c r="H29" s="76"/>
    </row>
    <row r="30" spans="1:38" ht="18" x14ac:dyDescent="0.3">
      <c r="A30" s="1105" t="s">
        <v>1401</v>
      </c>
      <c r="C30" s="76"/>
      <c r="D30" s="76"/>
      <c r="E30" s="76"/>
      <c r="F30" s="76"/>
      <c r="G30" s="76"/>
      <c r="H30" s="76"/>
    </row>
    <row r="31" spans="1:38" x14ac:dyDescent="0.3">
      <c r="A31" s="77"/>
      <c r="B31" s="76"/>
      <c r="C31" s="76"/>
      <c r="D31" s="76"/>
      <c r="E31" s="76"/>
      <c r="F31" s="76"/>
      <c r="G31" s="76"/>
      <c r="H31" s="76"/>
    </row>
    <row r="32" spans="1:38" ht="69" x14ac:dyDescent="0.3">
      <c r="A32" s="1355" t="s">
        <v>1402</v>
      </c>
      <c r="B32" s="1355"/>
      <c r="C32" s="1355"/>
      <c r="D32" s="1355"/>
      <c r="E32" s="1106" t="s">
        <v>650</v>
      </c>
      <c r="F32" s="1106" t="s">
        <v>8</v>
      </c>
      <c r="G32" s="1107" t="s">
        <v>651</v>
      </c>
      <c r="H32" s="1106" t="s">
        <v>8</v>
      </c>
      <c r="I32" s="1107" t="s">
        <v>725</v>
      </c>
      <c r="J32" s="1106" t="s">
        <v>8</v>
      </c>
      <c r="K32" s="1107" t="s">
        <v>726</v>
      </c>
      <c r="L32" s="1106" t="s">
        <v>8</v>
      </c>
      <c r="M32" s="1107" t="s">
        <v>727</v>
      </c>
      <c r="N32" s="1106" t="s">
        <v>8</v>
      </c>
      <c r="O32" s="1107" t="s">
        <v>1403</v>
      </c>
      <c r="P32" s="1106" t="s">
        <v>8</v>
      </c>
      <c r="Q32" s="1107" t="s">
        <v>256</v>
      </c>
      <c r="R32" s="1106" t="s">
        <v>8</v>
      </c>
      <c r="S32" s="1107" t="s">
        <v>731</v>
      </c>
      <c r="T32" s="1106" t="s">
        <v>8</v>
      </c>
      <c r="U32" s="1107" t="s">
        <v>732</v>
      </c>
      <c r="V32" s="1106" t="s">
        <v>8</v>
      </c>
      <c r="W32" s="1107" t="s">
        <v>318</v>
      </c>
      <c r="X32" s="1106" t="s">
        <v>8</v>
      </c>
      <c r="Y32" s="1107" t="s">
        <v>733</v>
      </c>
      <c r="Z32" s="1106" t="s">
        <v>8</v>
      </c>
      <c r="AA32" s="1107" t="s">
        <v>363</v>
      </c>
      <c r="AB32" s="1106" t="s">
        <v>8</v>
      </c>
      <c r="AC32" s="1107" t="s">
        <v>375</v>
      </c>
      <c r="AD32" s="1106" t="s">
        <v>8</v>
      </c>
      <c r="AE32" s="1107" t="s">
        <v>1222</v>
      </c>
      <c r="AF32" s="1106" t="s">
        <v>8</v>
      </c>
      <c r="AG32" s="1107" t="s">
        <v>397</v>
      </c>
      <c r="AH32" s="1106" t="s">
        <v>8</v>
      </c>
      <c r="AI32" s="1107" t="s">
        <v>675</v>
      </c>
      <c r="AJ32" s="1107"/>
      <c r="AK32" s="1108" t="s">
        <v>1404</v>
      </c>
      <c r="AL32" s="1106" t="s">
        <v>1405</v>
      </c>
    </row>
    <row r="33" spans="1:38" x14ac:dyDescent="0.3">
      <c r="A33" s="1109"/>
      <c r="B33" s="1109"/>
      <c r="C33" s="1109"/>
      <c r="D33" s="1109"/>
      <c r="E33" s="1106"/>
      <c r="F33" s="1106"/>
      <c r="G33" s="1107"/>
      <c r="H33" s="1106"/>
      <c r="I33" s="1107"/>
      <c r="J33" s="1106"/>
      <c r="K33" s="1107"/>
      <c r="L33" s="1106"/>
      <c r="M33" s="1107"/>
      <c r="N33" s="1106"/>
      <c r="O33" s="1107"/>
      <c r="P33" s="1106"/>
      <c r="Q33" s="1107"/>
      <c r="R33" s="1106"/>
      <c r="S33" s="1107"/>
      <c r="T33" s="1106"/>
      <c r="U33" s="1107"/>
      <c r="V33" s="1106"/>
      <c r="W33" s="1107"/>
      <c r="X33" s="1106"/>
      <c r="Y33" s="1107"/>
      <c r="Z33" s="1106"/>
      <c r="AA33" s="1107"/>
      <c r="AB33" s="1106"/>
      <c r="AC33" s="1107"/>
      <c r="AD33" s="1106"/>
      <c r="AE33" s="1107"/>
      <c r="AF33" s="1106"/>
      <c r="AG33" s="1107"/>
      <c r="AH33" s="1106"/>
      <c r="AI33" s="1107"/>
      <c r="AJ33" s="1107"/>
      <c r="AK33" s="1108"/>
      <c r="AL33" s="1106"/>
    </row>
    <row r="34" spans="1:38" ht="18" x14ac:dyDescent="0.3">
      <c r="A34" s="1110" t="s">
        <v>1406</v>
      </c>
      <c r="B34" s="1111"/>
      <c r="C34" s="1111"/>
      <c r="D34" s="1111"/>
      <c r="E34" s="1112"/>
      <c r="F34" s="1112"/>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c r="AI34" s="660"/>
      <c r="AJ34" s="660"/>
      <c r="AK34" s="660"/>
    </row>
    <row r="35" spans="1:38" ht="17.25" customHeight="1" thickBot="1" x14ac:dyDescent="0.35">
      <c r="A35" s="39"/>
      <c r="B35" s="1113"/>
      <c r="C35" s="1113"/>
      <c r="D35" s="1114" t="s">
        <v>1407</v>
      </c>
      <c r="E35" s="1115" t="s">
        <v>69</v>
      </c>
      <c r="F35" s="1116" t="s">
        <v>8</v>
      </c>
      <c r="G35" s="1115" t="s">
        <v>83</v>
      </c>
      <c r="H35" s="1116" t="s">
        <v>8</v>
      </c>
      <c r="I35" s="1115" t="s">
        <v>90</v>
      </c>
      <c r="J35" s="1116" t="s">
        <v>8</v>
      </c>
      <c r="K35" s="1117" t="s">
        <v>134</v>
      </c>
      <c r="L35" s="1118" t="s">
        <v>8</v>
      </c>
      <c r="M35" s="1117" t="s">
        <v>136</v>
      </c>
      <c r="N35" s="1118" t="s">
        <v>8</v>
      </c>
      <c r="O35" s="1117" t="s">
        <v>728</v>
      </c>
      <c r="P35" s="1118" t="s">
        <v>8</v>
      </c>
      <c r="Q35" s="1117" t="s">
        <v>266</v>
      </c>
      <c r="R35" s="1118" t="s">
        <v>8</v>
      </c>
      <c r="S35" s="1117" t="s">
        <v>292</v>
      </c>
      <c r="T35" s="1118" t="s">
        <v>8</v>
      </c>
      <c r="U35" s="1117" t="s">
        <v>335</v>
      </c>
      <c r="V35" s="1118" t="s">
        <v>8</v>
      </c>
      <c r="W35" s="1117" t="s">
        <v>346</v>
      </c>
      <c r="X35" s="1118" t="s">
        <v>8</v>
      </c>
      <c r="Y35" s="1117" t="s">
        <v>357</v>
      </c>
      <c r="Z35" s="1118" t="s">
        <v>8</v>
      </c>
      <c r="AA35" s="1117" t="s">
        <v>364</v>
      </c>
      <c r="AB35" s="1118" t="s">
        <v>8</v>
      </c>
      <c r="AC35" s="1117" t="s">
        <v>376</v>
      </c>
      <c r="AD35" s="1118" t="s">
        <v>8</v>
      </c>
      <c r="AE35" s="1117" t="s">
        <v>386</v>
      </c>
      <c r="AF35" s="1118" t="s">
        <v>8</v>
      </c>
      <c r="AG35" s="1117" t="s">
        <v>398</v>
      </c>
      <c r="AH35" s="1118" t="s">
        <v>8</v>
      </c>
      <c r="AI35" s="1117" t="s">
        <v>424</v>
      </c>
      <c r="AJ35" s="1119" t="s">
        <v>8</v>
      </c>
      <c r="AK35" s="1120" t="s">
        <v>1404</v>
      </c>
      <c r="AL35" s="1121" t="s">
        <v>1405</v>
      </c>
    </row>
    <row r="36" spans="1:38" ht="18" outlineLevel="1" x14ac:dyDescent="0.35">
      <c r="A36" s="1122" t="s">
        <v>1223</v>
      </c>
      <c r="B36" s="1123" t="s">
        <v>625</v>
      </c>
      <c r="C36" s="1124" t="s">
        <v>1523</v>
      </c>
      <c r="D36" s="1125" t="s">
        <v>1409</v>
      </c>
      <c r="E36" s="1126"/>
      <c r="F36" s="1127"/>
      <c r="G36" s="1127"/>
      <c r="H36" s="1127"/>
      <c r="I36" s="1127"/>
      <c r="J36" s="1127"/>
      <c r="K36" s="1127"/>
      <c r="L36" s="1127"/>
      <c r="M36" s="1127"/>
      <c r="N36" s="1127"/>
      <c r="O36" s="1127"/>
      <c r="P36" s="1127"/>
      <c r="Q36" s="1127"/>
      <c r="R36" s="1127"/>
      <c r="S36" s="1127"/>
      <c r="T36" s="1127"/>
      <c r="U36" s="1127"/>
      <c r="V36" s="1127"/>
      <c r="W36" s="1127"/>
      <c r="X36" s="1127"/>
      <c r="Y36" s="1127"/>
      <c r="Z36" s="1127"/>
      <c r="AA36" s="1127"/>
      <c r="AB36" s="1127"/>
      <c r="AC36" s="1127"/>
      <c r="AD36" s="1127"/>
      <c r="AE36" s="1127"/>
      <c r="AF36" s="1127"/>
      <c r="AG36" s="1127"/>
      <c r="AH36" s="1127"/>
      <c r="AI36" s="1127"/>
      <c r="AJ36" s="1128"/>
      <c r="AK36" s="1128"/>
      <c r="AL36" s="1129"/>
    </row>
    <row r="37" spans="1:38" ht="276" hidden="1" outlineLevel="2" x14ac:dyDescent="0.3">
      <c r="A37" s="1130"/>
      <c r="B37" s="1131" t="s">
        <v>1518</v>
      </c>
      <c r="C37" s="1132"/>
      <c r="D37" s="1133"/>
      <c r="E37" s="1134"/>
      <c r="F37" s="1135"/>
      <c r="G37" s="1135"/>
      <c r="H37" s="1135"/>
      <c r="I37" s="1135"/>
      <c r="J37" s="1135"/>
      <c r="K37" s="1135"/>
      <c r="L37" s="1135"/>
      <c r="M37" s="1135"/>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6"/>
      <c r="AK37" s="1136"/>
      <c r="AL37" s="1137"/>
    </row>
    <row r="38" spans="1:38" s="39" customFormat="1" ht="47.25" hidden="1" customHeight="1" outlineLevel="2" x14ac:dyDescent="0.3">
      <c r="A38" s="1130"/>
      <c r="B38" s="1131" t="s">
        <v>1367</v>
      </c>
      <c r="C38" s="1132"/>
      <c r="D38" s="1133"/>
      <c r="E38" s="1134"/>
      <c r="F38" s="1135"/>
      <c r="G38" s="1135"/>
      <c r="H38" s="1135"/>
      <c r="I38" s="1135"/>
      <c r="J38" s="1135"/>
      <c r="K38" s="1135"/>
      <c r="L38" s="1135"/>
      <c r="M38" s="1135"/>
      <c r="N38" s="1135"/>
      <c r="O38" s="1135"/>
      <c r="P38" s="1135"/>
      <c r="Q38" s="1135"/>
      <c r="R38" s="1135"/>
      <c r="S38" s="1135"/>
      <c r="T38" s="1135"/>
      <c r="U38" s="1135"/>
      <c r="V38" s="1135"/>
      <c r="W38" s="1135"/>
      <c r="X38" s="1135"/>
      <c r="Y38" s="1135"/>
      <c r="Z38" s="1135"/>
      <c r="AA38" s="1135"/>
      <c r="AB38" s="1135"/>
      <c r="AC38" s="1135"/>
      <c r="AD38" s="1135"/>
      <c r="AE38" s="1135"/>
      <c r="AF38" s="1135"/>
      <c r="AG38" s="1135"/>
      <c r="AH38" s="1135"/>
      <c r="AI38" s="1135"/>
      <c r="AJ38" s="1136"/>
      <c r="AK38" s="1137">
        <f t="shared" ref="AK38:AL69" si="2">SUM(E38,G38,I38)-SUM(K38,M38,O38,Q38,S38,U38,W38,Y38,AA38,AC38,AE38,AG38,AI38)</f>
        <v>0</v>
      </c>
      <c r="AL38" s="1137">
        <f t="shared" si="2"/>
        <v>0</v>
      </c>
    </row>
    <row r="39" spans="1:38" ht="17.25" hidden="1" customHeight="1" outlineLevel="2" x14ac:dyDescent="0.3">
      <c r="A39" s="1130"/>
      <c r="B39" s="1131" t="s">
        <v>706</v>
      </c>
      <c r="C39" s="1132"/>
      <c r="D39" s="1133"/>
      <c r="E39" s="1134"/>
      <c r="F39" s="1135"/>
      <c r="G39" s="1135"/>
      <c r="H39" s="1135"/>
      <c r="I39" s="1135"/>
      <c r="J39" s="1135"/>
      <c r="K39" s="1135"/>
      <c r="L39" s="1135"/>
      <c r="M39" s="1135"/>
      <c r="N39" s="1135"/>
      <c r="O39" s="1135"/>
      <c r="P39" s="1135"/>
      <c r="Q39" s="1135"/>
      <c r="R39" s="1135"/>
      <c r="S39" s="1135"/>
      <c r="T39" s="1135"/>
      <c r="U39" s="1135"/>
      <c r="V39" s="1135"/>
      <c r="W39" s="1135"/>
      <c r="X39" s="1135"/>
      <c r="Y39" s="1135"/>
      <c r="Z39" s="1135"/>
      <c r="AA39" s="1135"/>
      <c r="AB39" s="1135"/>
      <c r="AC39" s="1135"/>
      <c r="AD39" s="1135"/>
      <c r="AE39" s="1135"/>
      <c r="AF39" s="1135"/>
      <c r="AG39" s="1135"/>
      <c r="AH39" s="1135"/>
      <c r="AI39" s="1135"/>
      <c r="AJ39" s="1136"/>
      <c r="AK39" s="1137">
        <f t="shared" si="2"/>
        <v>0</v>
      </c>
      <c r="AL39" s="1137">
        <f t="shared" si="2"/>
        <v>0</v>
      </c>
    </row>
    <row r="40" spans="1:38" ht="17.25" hidden="1" customHeight="1" outlineLevel="2" x14ac:dyDescent="0.3">
      <c r="A40" s="1130"/>
      <c r="B40" s="1138" t="s">
        <v>751</v>
      </c>
      <c r="C40" s="1139"/>
      <c r="D40" s="1140"/>
      <c r="E40" s="1134"/>
      <c r="F40" s="1141"/>
      <c r="G40" s="1141"/>
      <c r="H40" s="1141"/>
      <c r="I40" s="1141"/>
      <c r="J40" s="1141"/>
      <c r="K40" s="1135"/>
      <c r="L40" s="1141"/>
      <c r="M40" s="1141"/>
      <c r="N40" s="1141"/>
      <c r="O40" s="1141"/>
      <c r="P40" s="1141"/>
      <c r="Q40" s="1141"/>
      <c r="R40" s="1141"/>
      <c r="S40" s="1141"/>
      <c r="T40" s="1141"/>
      <c r="U40" s="1135"/>
      <c r="V40" s="1141"/>
      <c r="W40" s="1141"/>
      <c r="X40" s="1141"/>
      <c r="Y40" s="1141"/>
      <c r="Z40" s="1141"/>
      <c r="AA40" s="1141"/>
      <c r="AB40" s="1141"/>
      <c r="AC40" s="1141"/>
      <c r="AD40" s="1141"/>
      <c r="AE40" s="1135"/>
      <c r="AF40" s="1141"/>
      <c r="AG40" s="1135"/>
      <c r="AH40" s="1141"/>
      <c r="AI40" s="1141"/>
      <c r="AJ40" s="1142"/>
      <c r="AK40" s="1137">
        <f t="shared" si="2"/>
        <v>0</v>
      </c>
      <c r="AL40" s="1137">
        <f t="shared" si="2"/>
        <v>0</v>
      </c>
    </row>
    <row r="41" spans="1:38" hidden="1" outlineLevel="2" x14ac:dyDescent="0.3">
      <c r="A41" s="1130"/>
      <c r="B41" s="1138"/>
      <c r="C41" s="1139"/>
      <c r="D41" s="1140"/>
      <c r="E41" s="1134"/>
      <c r="F41" s="1141"/>
      <c r="G41" s="1141"/>
      <c r="H41" s="1141"/>
      <c r="I41" s="1141"/>
      <c r="J41" s="1141"/>
      <c r="K41" s="1135"/>
      <c r="L41" s="1141"/>
      <c r="M41" s="1141"/>
      <c r="N41" s="1141"/>
      <c r="O41" s="1141"/>
      <c r="P41" s="1141"/>
      <c r="Q41" s="1141"/>
      <c r="R41" s="1141"/>
      <c r="S41" s="1141"/>
      <c r="T41" s="1141"/>
      <c r="U41" s="1135"/>
      <c r="V41" s="1141"/>
      <c r="W41" s="1141"/>
      <c r="X41" s="1141"/>
      <c r="Y41" s="1141"/>
      <c r="Z41" s="1141"/>
      <c r="AA41" s="1141"/>
      <c r="AB41" s="1141"/>
      <c r="AC41" s="1141"/>
      <c r="AD41" s="1141"/>
      <c r="AE41" s="1135"/>
      <c r="AF41" s="1141"/>
      <c r="AG41" s="1135"/>
      <c r="AH41" s="1141"/>
      <c r="AI41" s="1141"/>
      <c r="AJ41" s="1142"/>
      <c r="AK41" s="1137">
        <f t="shared" si="2"/>
        <v>0</v>
      </c>
      <c r="AL41" s="1137">
        <f t="shared" si="2"/>
        <v>0</v>
      </c>
    </row>
    <row r="42" spans="1:38" hidden="1" outlineLevel="2" x14ac:dyDescent="0.3">
      <c r="A42" s="1130"/>
      <c r="B42" s="1138"/>
      <c r="C42" s="1139"/>
      <c r="D42" s="1140"/>
      <c r="E42" s="1134"/>
      <c r="F42" s="1141"/>
      <c r="G42" s="1141"/>
      <c r="H42" s="1141"/>
      <c r="I42" s="1141"/>
      <c r="J42" s="1141"/>
      <c r="K42" s="1135"/>
      <c r="L42" s="1141"/>
      <c r="M42" s="1141"/>
      <c r="N42" s="1141"/>
      <c r="O42" s="1141"/>
      <c r="P42" s="1141"/>
      <c r="Q42" s="1141"/>
      <c r="R42" s="1141"/>
      <c r="S42" s="1141"/>
      <c r="T42" s="1141"/>
      <c r="U42" s="1135"/>
      <c r="V42" s="1141"/>
      <c r="W42" s="1141"/>
      <c r="X42" s="1141"/>
      <c r="Y42" s="1141"/>
      <c r="Z42" s="1141"/>
      <c r="AA42" s="1141"/>
      <c r="AB42" s="1141"/>
      <c r="AC42" s="1141"/>
      <c r="AD42" s="1141"/>
      <c r="AE42" s="1135"/>
      <c r="AF42" s="1141"/>
      <c r="AG42" s="1135"/>
      <c r="AH42" s="1141"/>
      <c r="AI42" s="1141"/>
      <c r="AJ42" s="1142"/>
      <c r="AK42" s="1137">
        <f t="shared" si="2"/>
        <v>0</v>
      </c>
      <c r="AL42" s="1137">
        <f t="shared" si="2"/>
        <v>0</v>
      </c>
    </row>
    <row r="43" spans="1:38" hidden="1" outlineLevel="2" x14ac:dyDescent="0.3">
      <c r="A43" s="1130"/>
      <c r="B43" s="1138" t="s">
        <v>631</v>
      </c>
      <c r="C43" s="1139"/>
      <c r="D43" s="1140"/>
      <c r="E43" s="1134"/>
      <c r="F43" s="1141"/>
      <c r="G43" s="1141"/>
      <c r="H43" s="1141"/>
      <c r="I43" s="1141"/>
      <c r="J43" s="1141"/>
      <c r="K43" s="1135"/>
      <c r="L43" s="1141"/>
      <c r="M43" s="1141"/>
      <c r="N43" s="1141"/>
      <c r="O43" s="1141"/>
      <c r="P43" s="1141"/>
      <c r="Q43" s="1141"/>
      <c r="R43" s="1141"/>
      <c r="S43" s="1141"/>
      <c r="T43" s="1141"/>
      <c r="U43" s="1135"/>
      <c r="V43" s="1141"/>
      <c r="W43" s="1141"/>
      <c r="X43" s="1141"/>
      <c r="Y43" s="1141"/>
      <c r="Z43" s="1141"/>
      <c r="AA43" s="1141"/>
      <c r="AB43" s="1141"/>
      <c r="AC43" s="1141"/>
      <c r="AD43" s="1141"/>
      <c r="AE43" s="1135"/>
      <c r="AF43" s="1141"/>
      <c r="AG43" s="1135"/>
      <c r="AH43" s="1141"/>
      <c r="AI43" s="1141"/>
      <c r="AJ43" s="1142"/>
      <c r="AK43" s="1137">
        <f t="shared" si="2"/>
        <v>0</v>
      </c>
      <c r="AL43" s="1137">
        <f t="shared" si="2"/>
        <v>0</v>
      </c>
    </row>
    <row r="44" spans="1:38" hidden="1" outlineLevel="2" x14ac:dyDescent="0.3">
      <c r="A44" s="1130"/>
      <c r="B44" s="1138"/>
      <c r="C44" s="1139"/>
      <c r="D44" s="1140"/>
      <c r="E44" s="1134"/>
      <c r="F44" s="1141"/>
      <c r="G44" s="1141"/>
      <c r="H44" s="1141"/>
      <c r="I44" s="1141"/>
      <c r="J44" s="1141"/>
      <c r="K44" s="1135"/>
      <c r="L44" s="1141"/>
      <c r="M44" s="1141"/>
      <c r="N44" s="1141"/>
      <c r="O44" s="1141"/>
      <c r="P44" s="1141"/>
      <c r="Q44" s="1141"/>
      <c r="R44" s="1141"/>
      <c r="S44" s="1141"/>
      <c r="T44" s="1141"/>
      <c r="U44" s="1135"/>
      <c r="V44" s="1141"/>
      <c r="W44" s="1141"/>
      <c r="X44" s="1141"/>
      <c r="Y44" s="1141"/>
      <c r="Z44" s="1141"/>
      <c r="AA44" s="1141"/>
      <c r="AB44" s="1141"/>
      <c r="AC44" s="1141"/>
      <c r="AD44" s="1141"/>
      <c r="AE44" s="1135"/>
      <c r="AF44" s="1141"/>
      <c r="AG44" s="1135"/>
      <c r="AH44" s="1141"/>
      <c r="AI44" s="1141"/>
      <c r="AJ44" s="1142"/>
      <c r="AK44" s="1137">
        <f t="shared" si="2"/>
        <v>0</v>
      </c>
      <c r="AL44" s="1137">
        <f t="shared" si="2"/>
        <v>0</v>
      </c>
    </row>
    <row r="45" spans="1:38" hidden="1" outlineLevel="2" x14ac:dyDescent="0.3">
      <c r="A45" s="1130"/>
      <c r="B45" s="1138"/>
      <c r="C45" s="1139"/>
      <c r="D45" s="1140"/>
      <c r="E45" s="1134"/>
      <c r="F45" s="1141"/>
      <c r="G45" s="1141"/>
      <c r="H45" s="1141"/>
      <c r="I45" s="1141"/>
      <c r="J45" s="1141"/>
      <c r="K45" s="1135"/>
      <c r="L45" s="1141"/>
      <c r="M45" s="1141"/>
      <c r="N45" s="1141"/>
      <c r="O45" s="1141"/>
      <c r="P45" s="1141"/>
      <c r="Q45" s="1141"/>
      <c r="R45" s="1141"/>
      <c r="S45" s="1141"/>
      <c r="T45" s="1141"/>
      <c r="U45" s="1135"/>
      <c r="V45" s="1141"/>
      <c r="W45" s="1141"/>
      <c r="X45" s="1141"/>
      <c r="Y45" s="1141"/>
      <c r="Z45" s="1141"/>
      <c r="AA45" s="1141"/>
      <c r="AB45" s="1141"/>
      <c r="AC45" s="1141"/>
      <c r="AD45" s="1141"/>
      <c r="AE45" s="1135"/>
      <c r="AF45" s="1141"/>
      <c r="AG45" s="1135"/>
      <c r="AH45" s="1141"/>
      <c r="AI45" s="1141"/>
      <c r="AJ45" s="1142"/>
      <c r="AK45" s="1137">
        <f t="shared" si="2"/>
        <v>0</v>
      </c>
      <c r="AL45" s="1137">
        <f t="shared" si="2"/>
        <v>0</v>
      </c>
    </row>
    <row r="46" spans="1:38" hidden="1" outlineLevel="2" x14ac:dyDescent="0.3">
      <c r="A46" s="1130"/>
      <c r="B46" s="1138"/>
      <c r="C46" s="1139"/>
      <c r="D46" s="1140"/>
      <c r="E46" s="1134"/>
      <c r="F46" s="1141"/>
      <c r="G46" s="1141"/>
      <c r="H46" s="1141"/>
      <c r="I46" s="1141"/>
      <c r="J46" s="1141"/>
      <c r="K46" s="1135"/>
      <c r="L46" s="1141"/>
      <c r="M46" s="1141"/>
      <c r="N46" s="1141"/>
      <c r="O46" s="1141"/>
      <c r="P46" s="1141"/>
      <c r="Q46" s="1141"/>
      <c r="R46" s="1141"/>
      <c r="S46" s="1141"/>
      <c r="T46" s="1141"/>
      <c r="U46" s="1135"/>
      <c r="V46" s="1141"/>
      <c r="W46" s="1141"/>
      <c r="X46" s="1141"/>
      <c r="Y46" s="1141"/>
      <c r="Z46" s="1141"/>
      <c r="AA46" s="1141"/>
      <c r="AB46" s="1141"/>
      <c r="AC46" s="1141"/>
      <c r="AD46" s="1141"/>
      <c r="AE46" s="1135"/>
      <c r="AF46" s="1141"/>
      <c r="AG46" s="1135"/>
      <c r="AH46" s="1141"/>
      <c r="AI46" s="1141"/>
      <c r="AJ46" s="1142"/>
      <c r="AK46" s="1137">
        <f t="shared" si="2"/>
        <v>0</v>
      </c>
      <c r="AL46" s="1137">
        <f t="shared" si="2"/>
        <v>0</v>
      </c>
    </row>
    <row r="47" spans="1:38" hidden="1" outlineLevel="2" x14ac:dyDescent="0.3">
      <c r="A47" s="1130"/>
      <c r="B47" s="1138"/>
      <c r="C47" s="1139"/>
      <c r="D47" s="1140"/>
      <c r="E47" s="1134"/>
      <c r="F47" s="1141"/>
      <c r="G47" s="1141"/>
      <c r="H47" s="1141"/>
      <c r="I47" s="1141"/>
      <c r="J47" s="1141"/>
      <c r="K47" s="1135"/>
      <c r="L47" s="1141"/>
      <c r="M47" s="1141"/>
      <c r="N47" s="1141"/>
      <c r="O47" s="1141"/>
      <c r="P47" s="1141"/>
      <c r="Q47" s="1141"/>
      <c r="R47" s="1141"/>
      <c r="S47" s="1141"/>
      <c r="T47" s="1141"/>
      <c r="U47" s="1135"/>
      <c r="V47" s="1141"/>
      <c r="W47" s="1141"/>
      <c r="X47" s="1141"/>
      <c r="Y47" s="1141"/>
      <c r="Z47" s="1141"/>
      <c r="AA47" s="1141"/>
      <c r="AB47" s="1141"/>
      <c r="AC47" s="1141"/>
      <c r="AD47" s="1141"/>
      <c r="AE47" s="1135"/>
      <c r="AF47" s="1141"/>
      <c r="AG47" s="1135"/>
      <c r="AH47" s="1141"/>
      <c r="AI47" s="1141"/>
      <c r="AJ47" s="1142"/>
      <c r="AK47" s="1137">
        <f t="shared" si="2"/>
        <v>0</v>
      </c>
      <c r="AL47" s="1137">
        <f t="shared" si="2"/>
        <v>0</v>
      </c>
    </row>
    <row r="48" spans="1:38" hidden="1" outlineLevel="2" x14ac:dyDescent="0.3">
      <c r="A48" s="1130"/>
      <c r="B48" s="1138"/>
      <c r="C48" s="1139"/>
      <c r="D48" s="1140"/>
      <c r="E48" s="1134"/>
      <c r="F48" s="1141"/>
      <c r="G48" s="1141"/>
      <c r="H48" s="1141"/>
      <c r="I48" s="1141"/>
      <c r="J48" s="1141"/>
      <c r="K48" s="1135"/>
      <c r="L48" s="1141"/>
      <c r="M48" s="1141"/>
      <c r="N48" s="1141"/>
      <c r="O48" s="1141"/>
      <c r="P48" s="1141"/>
      <c r="Q48" s="1141"/>
      <c r="R48" s="1141"/>
      <c r="S48" s="1141"/>
      <c r="T48" s="1141"/>
      <c r="U48" s="1135"/>
      <c r="V48" s="1141"/>
      <c r="W48" s="1141"/>
      <c r="X48" s="1141"/>
      <c r="Y48" s="1141"/>
      <c r="Z48" s="1141"/>
      <c r="AA48" s="1141"/>
      <c r="AB48" s="1141"/>
      <c r="AC48" s="1141"/>
      <c r="AD48" s="1141"/>
      <c r="AE48" s="1135"/>
      <c r="AF48" s="1141"/>
      <c r="AG48" s="1135"/>
      <c r="AH48" s="1141"/>
      <c r="AI48" s="1141"/>
      <c r="AJ48" s="1142"/>
      <c r="AK48" s="1137">
        <f t="shared" si="2"/>
        <v>0</v>
      </c>
      <c r="AL48" s="1137">
        <f t="shared" si="2"/>
        <v>0</v>
      </c>
    </row>
    <row r="49" spans="1:38" hidden="1" outlineLevel="2" x14ac:dyDescent="0.3">
      <c r="A49" s="1130"/>
      <c r="B49" s="1138"/>
      <c r="C49" s="1139"/>
      <c r="D49" s="1140"/>
      <c r="E49" s="1134"/>
      <c r="F49" s="1141"/>
      <c r="G49" s="1141"/>
      <c r="H49" s="1141"/>
      <c r="I49" s="1141"/>
      <c r="J49" s="1141"/>
      <c r="K49" s="1135"/>
      <c r="L49" s="1141"/>
      <c r="M49" s="1141"/>
      <c r="N49" s="1141"/>
      <c r="O49" s="1141"/>
      <c r="P49" s="1141"/>
      <c r="Q49" s="1141"/>
      <c r="R49" s="1141"/>
      <c r="S49" s="1141"/>
      <c r="T49" s="1141"/>
      <c r="U49" s="1135"/>
      <c r="V49" s="1141"/>
      <c r="W49" s="1141"/>
      <c r="X49" s="1141"/>
      <c r="Y49" s="1141"/>
      <c r="Z49" s="1141"/>
      <c r="AA49" s="1141"/>
      <c r="AB49" s="1141"/>
      <c r="AC49" s="1141"/>
      <c r="AD49" s="1141"/>
      <c r="AE49" s="1135"/>
      <c r="AF49" s="1141"/>
      <c r="AG49" s="1135"/>
      <c r="AH49" s="1141"/>
      <c r="AI49" s="1141"/>
      <c r="AJ49" s="1142"/>
      <c r="AK49" s="1137">
        <f t="shared" si="2"/>
        <v>0</v>
      </c>
      <c r="AL49" s="1137">
        <f t="shared" si="2"/>
        <v>0</v>
      </c>
    </row>
    <row r="50" spans="1:38" hidden="1" outlineLevel="2" x14ac:dyDescent="0.3">
      <c r="A50" s="1130"/>
      <c r="B50" s="1138"/>
      <c r="C50" s="1139"/>
      <c r="D50" s="1140"/>
      <c r="E50" s="1134"/>
      <c r="F50" s="1141"/>
      <c r="G50" s="1141"/>
      <c r="H50" s="1141"/>
      <c r="I50" s="1141"/>
      <c r="J50" s="1141"/>
      <c r="K50" s="1135"/>
      <c r="L50" s="1141"/>
      <c r="M50" s="1141"/>
      <c r="N50" s="1141"/>
      <c r="O50" s="1141"/>
      <c r="P50" s="1141"/>
      <c r="Q50" s="1141"/>
      <c r="R50" s="1141"/>
      <c r="S50" s="1141"/>
      <c r="T50" s="1141"/>
      <c r="U50" s="1135"/>
      <c r="V50" s="1141"/>
      <c r="W50" s="1141"/>
      <c r="X50" s="1141"/>
      <c r="Y50" s="1141"/>
      <c r="Z50" s="1141"/>
      <c r="AA50" s="1141"/>
      <c r="AB50" s="1141"/>
      <c r="AC50" s="1141"/>
      <c r="AD50" s="1141"/>
      <c r="AE50" s="1135"/>
      <c r="AF50" s="1141"/>
      <c r="AG50" s="1135"/>
      <c r="AH50" s="1141"/>
      <c r="AI50" s="1141"/>
      <c r="AJ50" s="1142"/>
      <c r="AK50" s="1137">
        <f t="shared" si="2"/>
        <v>0</v>
      </c>
      <c r="AL50" s="1137">
        <f t="shared" si="2"/>
        <v>0</v>
      </c>
    </row>
    <row r="51" spans="1:38" hidden="1" outlineLevel="2" x14ac:dyDescent="0.3">
      <c r="A51" s="1130"/>
      <c r="B51" s="1138"/>
      <c r="C51" s="1139"/>
      <c r="D51" s="1140"/>
      <c r="E51" s="1134"/>
      <c r="F51" s="1141"/>
      <c r="G51" s="1141"/>
      <c r="H51" s="1141"/>
      <c r="I51" s="1141"/>
      <c r="J51" s="1141"/>
      <c r="K51" s="1135"/>
      <c r="L51" s="1141"/>
      <c r="M51" s="1141"/>
      <c r="N51" s="1141"/>
      <c r="O51" s="1141"/>
      <c r="P51" s="1141"/>
      <c r="Q51" s="1141"/>
      <c r="R51" s="1141"/>
      <c r="S51" s="1141"/>
      <c r="T51" s="1141"/>
      <c r="U51" s="1135"/>
      <c r="V51" s="1141"/>
      <c r="W51" s="1141"/>
      <c r="X51" s="1141"/>
      <c r="Y51" s="1141"/>
      <c r="Z51" s="1141"/>
      <c r="AA51" s="1141"/>
      <c r="AB51" s="1141"/>
      <c r="AC51" s="1141"/>
      <c r="AD51" s="1141"/>
      <c r="AE51" s="1135"/>
      <c r="AF51" s="1141"/>
      <c r="AG51" s="1135"/>
      <c r="AH51" s="1141"/>
      <c r="AI51" s="1141"/>
      <c r="AJ51" s="1142"/>
      <c r="AK51" s="1137">
        <f t="shared" si="2"/>
        <v>0</v>
      </c>
      <c r="AL51" s="1137">
        <f t="shared" si="2"/>
        <v>0</v>
      </c>
    </row>
    <row r="52" spans="1:38" hidden="1" outlineLevel="2" x14ac:dyDescent="0.3">
      <c r="A52" s="1130"/>
      <c r="B52" s="1138"/>
      <c r="C52" s="1139"/>
      <c r="D52" s="1140"/>
      <c r="E52" s="1134"/>
      <c r="F52" s="1141"/>
      <c r="G52" s="1141"/>
      <c r="H52" s="1141"/>
      <c r="I52" s="1141"/>
      <c r="J52" s="1141"/>
      <c r="K52" s="1135"/>
      <c r="L52" s="1141"/>
      <c r="M52" s="1141"/>
      <c r="N52" s="1141"/>
      <c r="O52" s="1141"/>
      <c r="P52" s="1141"/>
      <c r="Q52" s="1141"/>
      <c r="R52" s="1141"/>
      <c r="S52" s="1141"/>
      <c r="T52" s="1141"/>
      <c r="U52" s="1135"/>
      <c r="V52" s="1141"/>
      <c r="W52" s="1141"/>
      <c r="X52" s="1141"/>
      <c r="Y52" s="1141"/>
      <c r="Z52" s="1141"/>
      <c r="AA52" s="1141"/>
      <c r="AB52" s="1141"/>
      <c r="AC52" s="1141"/>
      <c r="AD52" s="1141"/>
      <c r="AE52" s="1135"/>
      <c r="AF52" s="1141"/>
      <c r="AG52" s="1135"/>
      <c r="AH52" s="1141"/>
      <c r="AI52" s="1141"/>
      <c r="AJ52" s="1142"/>
      <c r="AK52" s="1137">
        <f t="shared" si="2"/>
        <v>0</v>
      </c>
      <c r="AL52" s="1137">
        <f t="shared" si="2"/>
        <v>0</v>
      </c>
    </row>
    <row r="53" spans="1:38" hidden="1" outlineLevel="2" x14ac:dyDescent="0.3">
      <c r="A53" s="1130"/>
      <c r="B53" s="1138"/>
      <c r="C53" s="1139"/>
      <c r="D53" s="1140"/>
      <c r="E53" s="1134"/>
      <c r="F53" s="1141"/>
      <c r="G53" s="1141"/>
      <c r="H53" s="1141"/>
      <c r="I53" s="1141"/>
      <c r="J53" s="1141"/>
      <c r="K53" s="1135"/>
      <c r="L53" s="1141"/>
      <c r="M53" s="1141"/>
      <c r="N53" s="1141"/>
      <c r="O53" s="1141"/>
      <c r="P53" s="1141"/>
      <c r="Q53" s="1141"/>
      <c r="R53" s="1141"/>
      <c r="S53" s="1141"/>
      <c r="T53" s="1141"/>
      <c r="U53" s="1135"/>
      <c r="V53" s="1141"/>
      <c r="W53" s="1141"/>
      <c r="X53" s="1141"/>
      <c r="Y53" s="1141"/>
      <c r="Z53" s="1141"/>
      <c r="AA53" s="1141"/>
      <c r="AB53" s="1141"/>
      <c r="AC53" s="1141"/>
      <c r="AD53" s="1141"/>
      <c r="AE53" s="1135"/>
      <c r="AF53" s="1141"/>
      <c r="AG53" s="1135"/>
      <c r="AH53" s="1141"/>
      <c r="AI53" s="1141"/>
      <c r="AJ53" s="1142"/>
      <c r="AK53" s="1137">
        <f t="shared" si="2"/>
        <v>0</v>
      </c>
      <c r="AL53" s="1137">
        <f t="shared" si="2"/>
        <v>0</v>
      </c>
    </row>
    <row r="54" spans="1:38" hidden="1" outlineLevel="2" x14ac:dyDescent="0.3">
      <c r="A54" s="1130"/>
      <c r="B54" s="1138"/>
      <c r="C54" s="1139"/>
      <c r="D54" s="1140"/>
      <c r="E54" s="1134"/>
      <c r="F54" s="1141"/>
      <c r="G54" s="1141"/>
      <c r="H54" s="1141"/>
      <c r="I54" s="1141"/>
      <c r="J54" s="1141"/>
      <c r="K54" s="1135"/>
      <c r="L54" s="1141"/>
      <c r="M54" s="1141"/>
      <c r="N54" s="1141"/>
      <c r="O54" s="1141"/>
      <c r="P54" s="1141"/>
      <c r="Q54" s="1141"/>
      <c r="R54" s="1141"/>
      <c r="S54" s="1141"/>
      <c r="T54" s="1141"/>
      <c r="U54" s="1135"/>
      <c r="V54" s="1141"/>
      <c r="W54" s="1141"/>
      <c r="X54" s="1141"/>
      <c r="Y54" s="1141"/>
      <c r="Z54" s="1141"/>
      <c r="AA54" s="1141"/>
      <c r="AB54" s="1141"/>
      <c r="AC54" s="1141"/>
      <c r="AD54" s="1141"/>
      <c r="AE54" s="1135"/>
      <c r="AF54" s="1141"/>
      <c r="AG54" s="1135"/>
      <c r="AH54" s="1141"/>
      <c r="AI54" s="1141"/>
      <c r="AJ54" s="1142"/>
      <c r="AK54" s="1137">
        <f t="shared" si="2"/>
        <v>0</v>
      </c>
      <c r="AL54" s="1137">
        <f t="shared" si="2"/>
        <v>0</v>
      </c>
    </row>
    <row r="55" spans="1:38" hidden="1" outlineLevel="2" x14ac:dyDescent="0.3">
      <c r="A55" s="1130"/>
      <c r="B55" s="1138"/>
      <c r="C55" s="1139"/>
      <c r="D55" s="1140"/>
      <c r="E55" s="1134"/>
      <c r="F55" s="1141"/>
      <c r="G55" s="1141"/>
      <c r="H55" s="1141"/>
      <c r="I55" s="1141"/>
      <c r="J55" s="1141"/>
      <c r="K55" s="1135"/>
      <c r="L55" s="1141"/>
      <c r="M55" s="1141"/>
      <c r="N55" s="1141"/>
      <c r="O55" s="1141"/>
      <c r="P55" s="1141"/>
      <c r="Q55" s="1141"/>
      <c r="R55" s="1141"/>
      <c r="S55" s="1141"/>
      <c r="T55" s="1141"/>
      <c r="U55" s="1135"/>
      <c r="V55" s="1141"/>
      <c r="W55" s="1141"/>
      <c r="X55" s="1141"/>
      <c r="Y55" s="1141"/>
      <c r="Z55" s="1141"/>
      <c r="AA55" s="1141"/>
      <c r="AB55" s="1141"/>
      <c r="AC55" s="1141"/>
      <c r="AD55" s="1141"/>
      <c r="AE55" s="1135"/>
      <c r="AF55" s="1141"/>
      <c r="AG55" s="1135"/>
      <c r="AH55" s="1141"/>
      <c r="AI55" s="1141"/>
      <c r="AJ55" s="1142"/>
      <c r="AK55" s="1137">
        <f t="shared" si="2"/>
        <v>0</v>
      </c>
      <c r="AL55" s="1137">
        <f t="shared" si="2"/>
        <v>0</v>
      </c>
    </row>
    <row r="56" spans="1:38" hidden="1" outlineLevel="2" x14ac:dyDescent="0.3">
      <c r="A56" s="1130"/>
      <c r="B56" s="1138"/>
      <c r="C56" s="1139"/>
      <c r="D56" s="1140"/>
      <c r="E56" s="1134"/>
      <c r="F56" s="1141"/>
      <c r="G56" s="1141"/>
      <c r="H56" s="1141"/>
      <c r="I56" s="1141"/>
      <c r="J56" s="1141"/>
      <c r="K56" s="1135"/>
      <c r="L56" s="1141"/>
      <c r="M56" s="1141"/>
      <c r="N56" s="1141"/>
      <c r="O56" s="1141"/>
      <c r="P56" s="1141"/>
      <c r="Q56" s="1141"/>
      <c r="R56" s="1141"/>
      <c r="S56" s="1141"/>
      <c r="T56" s="1141"/>
      <c r="U56" s="1135"/>
      <c r="V56" s="1141"/>
      <c r="W56" s="1141"/>
      <c r="X56" s="1141"/>
      <c r="Y56" s="1141"/>
      <c r="Z56" s="1141"/>
      <c r="AA56" s="1141"/>
      <c r="AB56" s="1141"/>
      <c r="AC56" s="1141"/>
      <c r="AD56" s="1141"/>
      <c r="AE56" s="1135"/>
      <c r="AF56" s="1141"/>
      <c r="AG56" s="1135"/>
      <c r="AH56" s="1141"/>
      <c r="AI56" s="1141"/>
      <c r="AJ56" s="1142"/>
      <c r="AK56" s="1137">
        <f t="shared" si="2"/>
        <v>0</v>
      </c>
      <c r="AL56" s="1137">
        <f t="shared" si="2"/>
        <v>0</v>
      </c>
    </row>
    <row r="57" spans="1:38" hidden="1" outlineLevel="2" x14ac:dyDescent="0.3">
      <c r="A57" s="1130"/>
      <c r="B57" s="1138"/>
      <c r="C57" s="1139"/>
      <c r="D57" s="1140"/>
      <c r="E57" s="1134"/>
      <c r="F57" s="1141"/>
      <c r="G57" s="1141"/>
      <c r="H57" s="1141"/>
      <c r="I57" s="1141"/>
      <c r="J57" s="1141"/>
      <c r="K57" s="1135"/>
      <c r="L57" s="1141"/>
      <c r="M57" s="1141"/>
      <c r="N57" s="1141"/>
      <c r="O57" s="1141"/>
      <c r="P57" s="1141"/>
      <c r="Q57" s="1141"/>
      <c r="R57" s="1141"/>
      <c r="S57" s="1141"/>
      <c r="T57" s="1141"/>
      <c r="U57" s="1135"/>
      <c r="V57" s="1141"/>
      <c r="W57" s="1141"/>
      <c r="X57" s="1141"/>
      <c r="Y57" s="1141"/>
      <c r="Z57" s="1141"/>
      <c r="AA57" s="1141"/>
      <c r="AB57" s="1141"/>
      <c r="AC57" s="1141"/>
      <c r="AD57" s="1141"/>
      <c r="AE57" s="1135"/>
      <c r="AF57" s="1141"/>
      <c r="AG57" s="1135"/>
      <c r="AH57" s="1141"/>
      <c r="AI57" s="1141"/>
      <c r="AJ57" s="1142"/>
      <c r="AK57" s="1137">
        <f t="shared" si="2"/>
        <v>0</v>
      </c>
      <c r="AL57" s="1137">
        <f t="shared" si="2"/>
        <v>0</v>
      </c>
    </row>
    <row r="58" spans="1:38" hidden="1" outlineLevel="2" x14ac:dyDescent="0.3">
      <c r="A58" s="1130"/>
      <c r="B58" s="1138"/>
      <c r="C58" s="1139"/>
      <c r="D58" s="1140"/>
      <c r="E58" s="1134"/>
      <c r="F58" s="1141"/>
      <c r="G58" s="1141"/>
      <c r="H58" s="1141"/>
      <c r="I58" s="1141"/>
      <c r="J58" s="1141"/>
      <c r="K58" s="1135"/>
      <c r="L58" s="1141"/>
      <c r="M58" s="1141"/>
      <c r="N58" s="1141"/>
      <c r="O58" s="1141"/>
      <c r="P58" s="1141"/>
      <c r="Q58" s="1141"/>
      <c r="R58" s="1141"/>
      <c r="S58" s="1141"/>
      <c r="T58" s="1141"/>
      <c r="U58" s="1135"/>
      <c r="V58" s="1141"/>
      <c r="W58" s="1141"/>
      <c r="X58" s="1141"/>
      <c r="Y58" s="1141"/>
      <c r="Z58" s="1141"/>
      <c r="AA58" s="1141"/>
      <c r="AB58" s="1141"/>
      <c r="AC58" s="1141"/>
      <c r="AD58" s="1141"/>
      <c r="AE58" s="1135"/>
      <c r="AF58" s="1141"/>
      <c r="AG58" s="1135"/>
      <c r="AH58" s="1141"/>
      <c r="AI58" s="1141"/>
      <c r="AJ58" s="1142"/>
      <c r="AK58" s="1137">
        <f t="shared" si="2"/>
        <v>0</v>
      </c>
      <c r="AL58" s="1137">
        <f t="shared" si="2"/>
        <v>0</v>
      </c>
    </row>
    <row r="59" spans="1:38" hidden="1" outlineLevel="2" x14ac:dyDescent="0.3">
      <c r="A59" s="1130"/>
      <c r="B59" s="1138"/>
      <c r="C59" s="1139"/>
      <c r="D59" s="1140"/>
      <c r="E59" s="1134"/>
      <c r="F59" s="1141"/>
      <c r="G59" s="1141"/>
      <c r="H59" s="1141"/>
      <c r="I59" s="1141"/>
      <c r="J59" s="1141"/>
      <c r="K59" s="1135"/>
      <c r="L59" s="1141"/>
      <c r="M59" s="1141"/>
      <c r="N59" s="1141"/>
      <c r="O59" s="1141"/>
      <c r="P59" s="1141"/>
      <c r="Q59" s="1141"/>
      <c r="R59" s="1141"/>
      <c r="S59" s="1141"/>
      <c r="T59" s="1141"/>
      <c r="U59" s="1135"/>
      <c r="V59" s="1141"/>
      <c r="W59" s="1141"/>
      <c r="X59" s="1141"/>
      <c r="Y59" s="1141"/>
      <c r="Z59" s="1141"/>
      <c r="AA59" s="1141"/>
      <c r="AB59" s="1141"/>
      <c r="AC59" s="1141"/>
      <c r="AD59" s="1141"/>
      <c r="AE59" s="1135"/>
      <c r="AF59" s="1141"/>
      <c r="AG59" s="1135"/>
      <c r="AH59" s="1141"/>
      <c r="AI59" s="1141"/>
      <c r="AJ59" s="1142"/>
      <c r="AK59" s="1137">
        <f t="shared" si="2"/>
        <v>0</v>
      </c>
      <c r="AL59" s="1137">
        <f t="shared" si="2"/>
        <v>0</v>
      </c>
    </row>
    <row r="60" spans="1:38" hidden="1" outlineLevel="2" x14ac:dyDescent="0.3">
      <c r="A60" s="1130"/>
      <c r="B60" s="1138"/>
      <c r="C60" s="1139"/>
      <c r="D60" s="1140"/>
      <c r="E60" s="1134"/>
      <c r="F60" s="1141"/>
      <c r="G60" s="1141"/>
      <c r="H60" s="1141"/>
      <c r="I60" s="1141"/>
      <c r="J60" s="1141"/>
      <c r="K60" s="1135"/>
      <c r="L60" s="1141"/>
      <c r="M60" s="1141"/>
      <c r="N60" s="1141"/>
      <c r="O60" s="1141"/>
      <c r="P60" s="1141"/>
      <c r="Q60" s="1141"/>
      <c r="R60" s="1141"/>
      <c r="S60" s="1141"/>
      <c r="T60" s="1141"/>
      <c r="U60" s="1135"/>
      <c r="V60" s="1141"/>
      <c r="W60" s="1141"/>
      <c r="X60" s="1141"/>
      <c r="Y60" s="1141"/>
      <c r="Z60" s="1141"/>
      <c r="AA60" s="1141"/>
      <c r="AB60" s="1141"/>
      <c r="AC60" s="1141"/>
      <c r="AD60" s="1141"/>
      <c r="AE60" s="1135"/>
      <c r="AF60" s="1141"/>
      <c r="AG60" s="1135"/>
      <c r="AH60" s="1141"/>
      <c r="AI60" s="1141"/>
      <c r="AJ60" s="1142"/>
      <c r="AK60" s="1137">
        <f t="shared" si="2"/>
        <v>0</v>
      </c>
      <c r="AL60" s="1137">
        <f t="shared" si="2"/>
        <v>0</v>
      </c>
    </row>
    <row r="61" spans="1:38" hidden="1" outlineLevel="2" x14ac:dyDescent="0.3">
      <c r="A61" s="1130"/>
      <c r="B61" s="1138"/>
      <c r="C61" s="1139"/>
      <c r="D61" s="1140"/>
      <c r="E61" s="1134"/>
      <c r="F61" s="1141"/>
      <c r="G61" s="1141"/>
      <c r="H61" s="1141"/>
      <c r="I61" s="1141"/>
      <c r="J61" s="1141"/>
      <c r="K61" s="1135"/>
      <c r="L61" s="1141"/>
      <c r="M61" s="1141"/>
      <c r="N61" s="1141"/>
      <c r="O61" s="1141"/>
      <c r="P61" s="1141"/>
      <c r="Q61" s="1141"/>
      <c r="R61" s="1141"/>
      <c r="S61" s="1141"/>
      <c r="T61" s="1141"/>
      <c r="U61" s="1135"/>
      <c r="V61" s="1141"/>
      <c r="W61" s="1141"/>
      <c r="X61" s="1141"/>
      <c r="Y61" s="1141"/>
      <c r="Z61" s="1141"/>
      <c r="AA61" s="1141"/>
      <c r="AB61" s="1141"/>
      <c r="AC61" s="1141"/>
      <c r="AD61" s="1141"/>
      <c r="AE61" s="1135"/>
      <c r="AF61" s="1141"/>
      <c r="AG61" s="1135"/>
      <c r="AH61" s="1141"/>
      <c r="AI61" s="1141"/>
      <c r="AJ61" s="1142"/>
      <c r="AK61" s="1137">
        <f t="shared" si="2"/>
        <v>0</v>
      </c>
      <c r="AL61" s="1137">
        <f t="shared" si="2"/>
        <v>0</v>
      </c>
    </row>
    <row r="62" spans="1:38" hidden="1" outlineLevel="2" x14ac:dyDescent="0.3">
      <c r="A62" s="1130"/>
      <c r="B62" s="1138"/>
      <c r="C62" s="1139"/>
      <c r="D62" s="1140"/>
      <c r="E62" s="1134"/>
      <c r="F62" s="1141"/>
      <c r="G62" s="1141"/>
      <c r="H62" s="1141"/>
      <c r="I62" s="1141"/>
      <c r="J62" s="1141"/>
      <c r="K62" s="1135"/>
      <c r="L62" s="1141"/>
      <c r="M62" s="1141"/>
      <c r="N62" s="1141"/>
      <c r="O62" s="1141"/>
      <c r="P62" s="1141"/>
      <c r="Q62" s="1141"/>
      <c r="R62" s="1141"/>
      <c r="S62" s="1141"/>
      <c r="T62" s="1141"/>
      <c r="U62" s="1135"/>
      <c r="V62" s="1141"/>
      <c r="W62" s="1141"/>
      <c r="X62" s="1141"/>
      <c r="Y62" s="1141"/>
      <c r="Z62" s="1141"/>
      <c r="AA62" s="1141"/>
      <c r="AB62" s="1141"/>
      <c r="AC62" s="1141"/>
      <c r="AD62" s="1141"/>
      <c r="AE62" s="1135"/>
      <c r="AF62" s="1141"/>
      <c r="AG62" s="1135"/>
      <c r="AH62" s="1141"/>
      <c r="AI62" s="1141"/>
      <c r="AJ62" s="1142"/>
      <c r="AK62" s="1137">
        <f t="shared" si="2"/>
        <v>0</v>
      </c>
      <c r="AL62" s="1137">
        <f t="shared" si="2"/>
        <v>0</v>
      </c>
    </row>
    <row r="63" spans="1:38" hidden="1" outlineLevel="2" x14ac:dyDescent="0.3">
      <c r="A63" s="1130"/>
      <c r="B63" s="1138"/>
      <c r="C63" s="1139"/>
      <c r="D63" s="1140"/>
      <c r="E63" s="1134"/>
      <c r="F63" s="1141"/>
      <c r="G63" s="1141"/>
      <c r="H63" s="1141"/>
      <c r="I63" s="1141"/>
      <c r="J63" s="1141"/>
      <c r="K63" s="1135"/>
      <c r="L63" s="1141"/>
      <c r="M63" s="1141"/>
      <c r="N63" s="1141"/>
      <c r="O63" s="1141"/>
      <c r="P63" s="1141"/>
      <c r="Q63" s="1141"/>
      <c r="R63" s="1141"/>
      <c r="S63" s="1141"/>
      <c r="T63" s="1141"/>
      <c r="U63" s="1135"/>
      <c r="V63" s="1141"/>
      <c r="W63" s="1141"/>
      <c r="X63" s="1141"/>
      <c r="Y63" s="1141"/>
      <c r="Z63" s="1141"/>
      <c r="AA63" s="1141"/>
      <c r="AB63" s="1141"/>
      <c r="AC63" s="1141"/>
      <c r="AD63" s="1141"/>
      <c r="AE63" s="1135"/>
      <c r="AF63" s="1141"/>
      <c r="AG63" s="1135"/>
      <c r="AH63" s="1141"/>
      <c r="AI63" s="1141"/>
      <c r="AJ63" s="1142"/>
      <c r="AK63" s="1137">
        <f t="shared" si="2"/>
        <v>0</v>
      </c>
      <c r="AL63" s="1137">
        <f t="shared" si="2"/>
        <v>0</v>
      </c>
    </row>
    <row r="64" spans="1:38" hidden="1" outlineLevel="2" x14ac:dyDescent="0.3">
      <c r="A64" s="1130"/>
      <c r="B64" s="1138"/>
      <c r="C64" s="1139"/>
      <c r="D64" s="1140"/>
      <c r="E64" s="1134"/>
      <c r="F64" s="1141"/>
      <c r="G64" s="1141"/>
      <c r="H64" s="1141"/>
      <c r="I64" s="1141"/>
      <c r="J64" s="1141"/>
      <c r="K64" s="1135"/>
      <c r="L64" s="1141"/>
      <c r="M64" s="1141"/>
      <c r="N64" s="1141"/>
      <c r="O64" s="1141"/>
      <c r="P64" s="1141"/>
      <c r="Q64" s="1141"/>
      <c r="R64" s="1141"/>
      <c r="S64" s="1141"/>
      <c r="T64" s="1141"/>
      <c r="U64" s="1135"/>
      <c r="V64" s="1141"/>
      <c r="W64" s="1141"/>
      <c r="X64" s="1141"/>
      <c r="Y64" s="1141"/>
      <c r="Z64" s="1141"/>
      <c r="AA64" s="1141"/>
      <c r="AB64" s="1141"/>
      <c r="AC64" s="1141"/>
      <c r="AD64" s="1141"/>
      <c r="AE64" s="1135"/>
      <c r="AF64" s="1141"/>
      <c r="AG64" s="1135"/>
      <c r="AH64" s="1141"/>
      <c r="AI64" s="1141"/>
      <c r="AJ64" s="1142"/>
      <c r="AK64" s="1137">
        <f t="shared" si="2"/>
        <v>0</v>
      </c>
      <c r="AL64" s="1137">
        <f t="shared" si="2"/>
        <v>0</v>
      </c>
    </row>
    <row r="65" spans="1:38" hidden="1" outlineLevel="2" x14ac:dyDescent="0.3">
      <c r="A65" s="1130"/>
      <c r="B65" s="1138"/>
      <c r="C65" s="1139"/>
      <c r="D65" s="1140"/>
      <c r="E65" s="1134"/>
      <c r="F65" s="1141"/>
      <c r="G65" s="1141"/>
      <c r="H65" s="1141"/>
      <c r="I65" s="1141"/>
      <c r="J65" s="1141"/>
      <c r="K65" s="1135"/>
      <c r="L65" s="1141"/>
      <c r="M65" s="1141"/>
      <c r="N65" s="1141"/>
      <c r="O65" s="1141"/>
      <c r="P65" s="1141"/>
      <c r="Q65" s="1141"/>
      <c r="R65" s="1141"/>
      <c r="S65" s="1141"/>
      <c r="T65" s="1141"/>
      <c r="U65" s="1135"/>
      <c r="V65" s="1141"/>
      <c r="W65" s="1141"/>
      <c r="X65" s="1141"/>
      <c r="Y65" s="1141"/>
      <c r="Z65" s="1141"/>
      <c r="AA65" s="1141"/>
      <c r="AB65" s="1141"/>
      <c r="AC65" s="1141"/>
      <c r="AD65" s="1141"/>
      <c r="AE65" s="1135"/>
      <c r="AF65" s="1141"/>
      <c r="AG65" s="1135"/>
      <c r="AH65" s="1141"/>
      <c r="AI65" s="1141"/>
      <c r="AJ65" s="1142"/>
      <c r="AK65" s="1137">
        <f t="shared" si="2"/>
        <v>0</v>
      </c>
      <c r="AL65" s="1137">
        <f t="shared" si="2"/>
        <v>0</v>
      </c>
    </row>
    <row r="66" spans="1:38" hidden="1" outlineLevel="2" x14ac:dyDescent="0.3">
      <c r="A66" s="1130"/>
      <c r="B66" s="1138"/>
      <c r="C66" s="1139"/>
      <c r="D66" s="1140"/>
      <c r="E66" s="1134"/>
      <c r="F66" s="1141"/>
      <c r="G66" s="1141"/>
      <c r="H66" s="1141"/>
      <c r="I66" s="1141"/>
      <c r="J66" s="1141"/>
      <c r="K66" s="1135"/>
      <c r="L66" s="1141"/>
      <c r="M66" s="1141"/>
      <c r="N66" s="1141"/>
      <c r="O66" s="1141"/>
      <c r="P66" s="1141"/>
      <c r="Q66" s="1141"/>
      <c r="R66" s="1141"/>
      <c r="S66" s="1141"/>
      <c r="T66" s="1141"/>
      <c r="U66" s="1135"/>
      <c r="V66" s="1141"/>
      <c r="W66" s="1141"/>
      <c r="X66" s="1141"/>
      <c r="Y66" s="1141"/>
      <c r="Z66" s="1141"/>
      <c r="AA66" s="1141"/>
      <c r="AB66" s="1141"/>
      <c r="AC66" s="1141"/>
      <c r="AD66" s="1141"/>
      <c r="AE66" s="1135"/>
      <c r="AF66" s="1141"/>
      <c r="AG66" s="1135"/>
      <c r="AH66" s="1141"/>
      <c r="AI66" s="1141"/>
      <c r="AJ66" s="1142"/>
      <c r="AK66" s="1137">
        <f t="shared" si="2"/>
        <v>0</v>
      </c>
      <c r="AL66" s="1137">
        <f t="shared" si="2"/>
        <v>0</v>
      </c>
    </row>
    <row r="67" spans="1:38" hidden="1" outlineLevel="2" x14ac:dyDescent="0.3">
      <c r="A67" s="1130"/>
      <c r="B67" s="1138"/>
      <c r="C67" s="1139"/>
      <c r="D67" s="1140"/>
      <c r="E67" s="1134"/>
      <c r="F67" s="1141"/>
      <c r="G67" s="1141"/>
      <c r="H67" s="1141"/>
      <c r="I67" s="1141"/>
      <c r="J67" s="1141"/>
      <c r="K67" s="1135"/>
      <c r="L67" s="1141"/>
      <c r="M67" s="1141"/>
      <c r="N67" s="1141"/>
      <c r="O67" s="1141"/>
      <c r="P67" s="1141"/>
      <c r="Q67" s="1141"/>
      <c r="R67" s="1141"/>
      <c r="S67" s="1141"/>
      <c r="T67" s="1141"/>
      <c r="U67" s="1135"/>
      <c r="V67" s="1141"/>
      <c r="W67" s="1141"/>
      <c r="X67" s="1141"/>
      <c r="Y67" s="1141"/>
      <c r="Z67" s="1141"/>
      <c r="AA67" s="1141"/>
      <c r="AB67" s="1141"/>
      <c r="AC67" s="1141"/>
      <c r="AD67" s="1141"/>
      <c r="AE67" s="1135"/>
      <c r="AF67" s="1141"/>
      <c r="AG67" s="1135"/>
      <c r="AH67" s="1141"/>
      <c r="AI67" s="1141"/>
      <c r="AJ67" s="1142"/>
      <c r="AK67" s="1137">
        <f t="shared" si="2"/>
        <v>0</v>
      </c>
      <c r="AL67" s="1137">
        <f t="shared" si="2"/>
        <v>0</v>
      </c>
    </row>
    <row r="68" spans="1:38" hidden="1" outlineLevel="2" x14ac:dyDescent="0.3">
      <c r="A68" s="1130"/>
      <c r="B68" s="1138"/>
      <c r="C68" s="1139"/>
      <c r="D68" s="1140"/>
      <c r="E68" s="1134"/>
      <c r="F68" s="1141"/>
      <c r="G68" s="1141"/>
      <c r="H68" s="1141"/>
      <c r="I68" s="1141"/>
      <c r="J68" s="1141"/>
      <c r="K68" s="1135"/>
      <c r="L68" s="1141"/>
      <c r="M68" s="1141"/>
      <c r="N68" s="1141"/>
      <c r="O68" s="1141"/>
      <c r="P68" s="1141"/>
      <c r="Q68" s="1141"/>
      <c r="R68" s="1141"/>
      <c r="S68" s="1141"/>
      <c r="T68" s="1141"/>
      <c r="U68" s="1135"/>
      <c r="V68" s="1141"/>
      <c r="W68" s="1141"/>
      <c r="X68" s="1141"/>
      <c r="Y68" s="1141"/>
      <c r="Z68" s="1141"/>
      <c r="AA68" s="1141"/>
      <c r="AB68" s="1141"/>
      <c r="AC68" s="1141"/>
      <c r="AD68" s="1141"/>
      <c r="AE68" s="1135"/>
      <c r="AF68" s="1141"/>
      <c r="AG68" s="1135"/>
      <c r="AH68" s="1141"/>
      <c r="AI68" s="1141"/>
      <c r="AJ68" s="1142"/>
      <c r="AK68" s="1137">
        <f t="shared" si="2"/>
        <v>0</v>
      </c>
      <c r="AL68" s="1137">
        <f t="shared" si="2"/>
        <v>0</v>
      </c>
    </row>
    <row r="69" spans="1:38" hidden="1" outlineLevel="2" x14ac:dyDescent="0.3">
      <c r="A69" s="1130"/>
      <c r="B69" s="1138"/>
      <c r="C69" s="1139"/>
      <c r="D69" s="1140"/>
      <c r="E69" s="1134"/>
      <c r="F69" s="1141"/>
      <c r="G69" s="1141"/>
      <c r="H69" s="1141"/>
      <c r="I69" s="1141"/>
      <c r="J69" s="1141"/>
      <c r="K69" s="1135"/>
      <c r="L69" s="1141"/>
      <c r="M69" s="1141"/>
      <c r="N69" s="1141"/>
      <c r="O69" s="1141"/>
      <c r="P69" s="1141"/>
      <c r="Q69" s="1141"/>
      <c r="R69" s="1141"/>
      <c r="S69" s="1141"/>
      <c r="T69" s="1141"/>
      <c r="U69" s="1135"/>
      <c r="V69" s="1141"/>
      <c r="W69" s="1141"/>
      <c r="X69" s="1141"/>
      <c r="Y69" s="1141"/>
      <c r="Z69" s="1141"/>
      <c r="AA69" s="1141"/>
      <c r="AB69" s="1141"/>
      <c r="AC69" s="1141"/>
      <c r="AD69" s="1141"/>
      <c r="AE69" s="1135"/>
      <c r="AF69" s="1141"/>
      <c r="AG69" s="1135"/>
      <c r="AH69" s="1141"/>
      <c r="AI69" s="1141"/>
      <c r="AJ69" s="1142"/>
      <c r="AK69" s="1137">
        <f t="shared" si="2"/>
        <v>0</v>
      </c>
      <c r="AL69" s="1137">
        <f t="shared" si="2"/>
        <v>0</v>
      </c>
    </row>
    <row r="70" spans="1:38" hidden="1" outlineLevel="2" x14ac:dyDescent="0.3">
      <c r="A70" s="1130"/>
      <c r="B70" s="1138"/>
      <c r="C70" s="1139"/>
      <c r="D70" s="1140"/>
      <c r="E70" s="1134"/>
      <c r="F70" s="1141"/>
      <c r="G70" s="1141"/>
      <c r="H70" s="1141"/>
      <c r="I70" s="1141"/>
      <c r="J70" s="1141"/>
      <c r="K70" s="1135"/>
      <c r="L70" s="1141"/>
      <c r="M70" s="1141"/>
      <c r="N70" s="1141"/>
      <c r="O70" s="1141"/>
      <c r="P70" s="1141"/>
      <c r="Q70" s="1141"/>
      <c r="R70" s="1141"/>
      <c r="S70" s="1141"/>
      <c r="T70" s="1141"/>
      <c r="U70" s="1135"/>
      <c r="V70" s="1141"/>
      <c r="W70" s="1141"/>
      <c r="X70" s="1141"/>
      <c r="Y70" s="1141"/>
      <c r="Z70" s="1141"/>
      <c r="AA70" s="1141"/>
      <c r="AB70" s="1141"/>
      <c r="AC70" s="1141"/>
      <c r="AD70" s="1141"/>
      <c r="AE70" s="1135"/>
      <c r="AF70" s="1141"/>
      <c r="AG70" s="1135"/>
      <c r="AH70" s="1141"/>
      <c r="AI70" s="1141"/>
      <c r="AJ70" s="1142"/>
      <c r="AK70" s="1137">
        <f t="shared" ref="AK70:AL87" si="3">SUM(E70,G70,I70)-SUM(K70,M70,O70,Q70,S70,U70,W70,Y70,AA70,AC70,AE70,AG70,AI70)</f>
        <v>0</v>
      </c>
      <c r="AL70" s="1137">
        <f t="shared" si="3"/>
        <v>0</v>
      </c>
    </row>
    <row r="71" spans="1:38" hidden="1" outlineLevel="2" x14ac:dyDescent="0.3">
      <c r="A71" s="1130"/>
      <c r="B71" s="1138"/>
      <c r="C71" s="1139"/>
      <c r="D71" s="1140"/>
      <c r="E71" s="1134"/>
      <c r="F71" s="1141"/>
      <c r="G71" s="1141"/>
      <c r="H71" s="1141"/>
      <c r="I71" s="1141"/>
      <c r="J71" s="1141"/>
      <c r="K71" s="1135"/>
      <c r="L71" s="1141"/>
      <c r="M71" s="1141"/>
      <c r="N71" s="1141"/>
      <c r="O71" s="1141"/>
      <c r="P71" s="1141"/>
      <c r="Q71" s="1141"/>
      <c r="R71" s="1141"/>
      <c r="S71" s="1141"/>
      <c r="T71" s="1141"/>
      <c r="U71" s="1135"/>
      <c r="V71" s="1141"/>
      <c r="W71" s="1141"/>
      <c r="X71" s="1141"/>
      <c r="Y71" s="1141"/>
      <c r="Z71" s="1141"/>
      <c r="AA71" s="1141"/>
      <c r="AB71" s="1141"/>
      <c r="AC71" s="1141"/>
      <c r="AD71" s="1141"/>
      <c r="AE71" s="1135"/>
      <c r="AF71" s="1141"/>
      <c r="AG71" s="1135"/>
      <c r="AH71" s="1141"/>
      <c r="AI71" s="1141"/>
      <c r="AJ71" s="1142"/>
      <c r="AK71" s="1137">
        <f t="shared" si="3"/>
        <v>0</v>
      </c>
      <c r="AL71" s="1137">
        <f t="shared" si="3"/>
        <v>0</v>
      </c>
    </row>
    <row r="72" spans="1:38" hidden="1" outlineLevel="2" x14ac:dyDescent="0.3">
      <c r="A72" s="1130"/>
      <c r="B72" s="1138"/>
      <c r="C72" s="1139"/>
      <c r="D72" s="1140"/>
      <c r="E72" s="1134"/>
      <c r="F72" s="1141"/>
      <c r="G72" s="1141"/>
      <c r="H72" s="1141"/>
      <c r="I72" s="1141"/>
      <c r="J72" s="1141"/>
      <c r="K72" s="1135"/>
      <c r="L72" s="1141"/>
      <c r="M72" s="1141"/>
      <c r="N72" s="1141"/>
      <c r="O72" s="1141"/>
      <c r="P72" s="1141"/>
      <c r="Q72" s="1141"/>
      <c r="R72" s="1141"/>
      <c r="S72" s="1141"/>
      <c r="T72" s="1141"/>
      <c r="U72" s="1135"/>
      <c r="V72" s="1141"/>
      <c r="W72" s="1141"/>
      <c r="X72" s="1141"/>
      <c r="Y72" s="1141"/>
      <c r="Z72" s="1141"/>
      <c r="AA72" s="1141"/>
      <c r="AB72" s="1141"/>
      <c r="AC72" s="1141"/>
      <c r="AD72" s="1141"/>
      <c r="AE72" s="1135"/>
      <c r="AF72" s="1141"/>
      <c r="AG72" s="1135"/>
      <c r="AH72" s="1141"/>
      <c r="AI72" s="1141"/>
      <c r="AJ72" s="1142"/>
      <c r="AK72" s="1137">
        <f t="shared" si="3"/>
        <v>0</v>
      </c>
      <c r="AL72" s="1137">
        <f t="shared" si="3"/>
        <v>0</v>
      </c>
    </row>
    <row r="73" spans="1:38" hidden="1" outlineLevel="2" x14ac:dyDescent="0.3">
      <c r="A73" s="1130"/>
      <c r="B73" s="1138"/>
      <c r="C73" s="1139"/>
      <c r="D73" s="1140"/>
      <c r="E73" s="1134"/>
      <c r="F73" s="1141"/>
      <c r="G73" s="1141"/>
      <c r="H73" s="1141"/>
      <c r="I73" s="1141"/>
      <c r="J73" s="1141"/>
      <c r="K73" s="1135"/>
      <c r="L73" s="1141"/>
      <c r="M73" s="1141"/>
      <c r="N73" s="1141"/>
      <c r="O73" s="1141"/>
      <c r="P73" s="1141"/>
      <c r="Q73" s="1141"/>
      <c r="R73" s="1141"/>
      <c r="S73" s="1141"/>
      <c r="T73" s="1141"/>
      <c r="U73" s="1135"/>
      <c r="V73" s="1141"/>
      <c r="W73" s="1141"/>
      <c r="X73" s="1141"/>
      <c r="Y73" s="1141"/>
      <c r="Z73" s="1141"/>
      <c r="AA73" s="1141"/>
      <c r="AB73" s="1141"/>
      <c r="AC73" s="1141"/>
      <c r="AD73" s="1141"/>
      <c r="AE73" s="1135"/>
      <c r="AF73" s="1141"/>
      <c r="AG73" s="1135"/>
      <c r="AH73" s="1141"/>
      <c r="AI73" s="1141"/>
      <c r="AJ73" s="1142"/>
      <c r="AK73" s="1137">
        <f t="shared" si="3"/>
        <v>0</v>
      </c>
      <c r="AL73" s="1137">
        <f t="shared" si="3"/>
        <v>0</v>
      </c>
    </row>
    <row r="74" spans="1:38" hidden="1" outlineLevel="2" x14ac:dyDescent="0.3">
      <c r="A74" s="1130"/>
      <c r="B74" s="1138"/>
      <c r="C74" s="1139"/>
      <c r="D74" s="1140"/>
      <c r="E74" s="1134"/>
      <c r="F74" s="1141"/>
      <c r="G74" s="1141"/>
      <c r="H74" s="1141"/>
      <c r="I74" s="1141"/>
      <c r="J74" s="1141"/>
      <c r="K74" s="1135"/>
      <c r="L74" s="1141"/>
      <c r="M74" s="1141"/>
      <c r="N74" s="1141"/>
      <c r="O74" s="1141"/>
      <c r="P74" s="1141"/>
      <c r="Q74" s="1141"/>
      <c r="R74" s="1141"/>
      <c r="S74" s="1141"/>
      <c r="T74" s="1141"/>
      <c r="U74" s="1135"/>
      <c r="V74" s="1141"/>
      <c r="W74" s="1141"/>
      <c r="X74" s="1141"/>
      <c r="Y74" s="1141"/>
      <c r="Z74" s="1141"/>
      <c r="AA74" s="1141"/>
      <c r="AB74" s="1141"/>
      <c r="AC74" s="1141"/>
      <c r="AD74" s="1141"/>
      <c r="AE74" s="1135"/>
      <c r="AF74" s="1141"/>
      <c r="AG74" s="1135"/>
      <c r="AH74" s="1141"/>
      <c r="AI74" s="1141"/>
      <c r="AJ74" s="1142"/>
      <c r="AK74" s="1137">
        <f t="shared" si="3"/>
        <v>0</v>
      </c>
      <c r="AL74" s="1137">
        <f t="shared" si="3"/>
        <v>0</v>
      </c>
    </row>
    <row r="75" spans="1:38" hidden="1" outlineLevel="2" x14ac:dyDescent="0.3">
      <c r="A75" s="1130"/>
      <c r="B75" s="1138"/>
      <c r="C75" s="1139"/>
      <c r="D75" s="1140"/>
      <c r="E75" s="1134"/>
      <c r="F75" s="1141"/>
      <c r="G75" s="1141"/>
      <c r="H75" s="1141"/>
      <c r="I75" s="1141"/>
      <c r="J75" s="1141"/>
      <c r="K75" s="1135"/>
      <c r="L75" s="1141"/>
      <c r="M75" s="1141"/>
      <c r="N75" s="1141"/>
      <c r="O75" s="1141"/>
      <c r="P75" s="1141"/>
      <c r="Q75" s="1141"/>
      <c r="R75" s="1141"/>
      <c r="S75" s="1141"/>
      <c r="T75" s="1141"/>
      <c r="U75" s="1135"/>
      <c r="V75" s="1141"/>
      <c r="W75" s="1141"/>
      <c r="X75" s="1141"/>
      <c r="Y75" s="1141"/>
      <c r="Z75" s="1141"/>
      <c r="AA75" s="1141"/>
      <c r="AB75" s="1141"/>
      <c r="AC75" s="1141"/>
      <c r="AD75" s="1141"/>
      <c r="AE75" s="1135"/>
      <c r="AF75" s="1141"/>
      <c r="AG75" s="1135"/>
      <c r="AH75" s="1141"/>
      <c r="AI75" s="1141"/>
      <c r="AJ75" s="1142"/>
      <c r="AK75" s="1137">
        <f t="shared" si="3"/>
        <v>0</v>
      </c>
      <c r="AL75" s="1137">
        <f t="shared" si="3"/>
        <v>0</v>
      </c>
    </row>
    <row r="76" spans="1:38" hidden="1" outlineLevel="2" x14ac:dyDescent="0.3">
      <c r="A76" s="1130"/>
      <c r="B76" s="1138"/>
      <c r="C76" s="1139"/>
      <c r="D76" s="1140"/>
      <c r="E76" s="1134"/>
      <c r="F76" s="1141"/>
      <c r="G76" s="1141"/>
      <c r="H76" s="1141"/>
      <c r="I76" s="1141"/>
      <c r="J76" s="1141"/>
      <c r="K76" s="1135"/>
      <c r="L76" s="1141"/>
      <c r="M76" s="1141"/>
      <c r="N76" s="1141"/>
      <c r="O76" s="1141"/>
      <c r="P76" s="1141"/>
      <c r="Q76" s="1141"/>
      <c r="R76" s="1141"/>
      <c r="S76" s="1141"/>
      <c r="T76" s="1141"/>
      <c r="U76" s="1135"/>
      <c r="V76" s="1141"/>
      <c r="W76" s="1141"/>
      <c r="X76" s="1141"/>
      <c r="Y76" s="1141"/>
      <c r="Z76" s="1141"/>
      <c r="AA76" s="1141"/>
      <c r="AB76" s="1141"/>
      <c r="AC76" s="1141"/>
      <c r="AD76" s="1141"/>
      <c r="AE76" s="1135"/>
      <c r="AF76" s="1141"/>
      <c r="AG76" s="1135"/>
      <c r="AH76" s="1141"/>
      <c r="AI76" s="1141"/>
      <c r="AJ76" s="1142"/>
      <c r="AK76" s="1137">
        <f t="shared" si="3"/>
        <v>0</v>
      </c>
      <c r="AL76" s="1137">
        <f t="shared" si="3"/>
        <v>0</v>
      </c>
    </row>
    <row r="77" spans="1:38" hidden="1" outlineLevel="2" x14ac:dyDescent="0.3">
      <c r="A77" s="1130"/>
      <c r="B77" s="1138"/>
      <c r="C77" s="1139"/>
      <c r="D77" s="1140"/>
      <c r="E77" s="1134"/>
      <c r="F77" s="1141"/>
      <c r="G77" s="1141"/>
      <c r="H77" s="1141"/>
      <c r="I77" s="1141"/>
      <c r="J77" s="1141"/>
      <c r="K77" s="1135"/>
      <c r="L77" s="1141"/>
      <c r="M77" s="1141"/>
      <c r="N77" s="1141"/>
      <c r="O77" s="1141"/>
      <c r="P77" s="1141"/>
      <c r="Q77" s="1141"/>
      <c r="R77" s="1141"/>
      <c r="S77" s="1141"/>
      <c r="T77" s="1141"/>
      <c r="U77" s="1135"/>
      <c r="V77" s="1141"/>
      <c r="W77" s="1141"/>
      <c r="X77" s="1141"/>
      <c r="Y77" s="1141"/>
      <c r="Z77" s="1141"/>
      <c r="AA77" s="1141"/>
      <c r="AB77" s="1141"/>
      <c r="AC77" s="1141"/>
      <c r="AD77" s="1141"/>
      <c r="AE77" s="1135"/>
      <c r="AF77" s="1141"/>
      <c r="AG77" s="1135"/>
      <c r="AH77" s="1141"/>
      <c r="AI77" s="1141"/>
      <c r="AJ77" s="1142"/>
      <c r="AK77" s="1137">
        <f t="shared" si="3"/>
        <v>0</v>
      </c>
      <c r="AL77" s="1137">
        <f t="shared" si="3"/>
        <v>0</v>
      </c>
    </row>
    <row r="78" spans="1:38" hidden="1" outlineLevel="2" x14ac:dyDescent="0.3">
      <c r="A78" s="1130"/>
      <c r="B78" s="1138"/>
      <c r="C78" s="1139"/>
      <c r="D78" s="1140"/>
      <c r="E78" s="1134"/>
      <c r="F78" s="1141"/>
      <c r="G78" s="1141"/>
      <c r="H78" s="1141"/>
      <c r="I78" s="1141"/>
      <c r="J78" s="1141"/>
      <c r="K78" s="1135"/>
      <c r="L78" s="1141"/>
      <c r="M78" s="1141"/>
      <c r="N78" s="1141"/>
      <c r="O78" s="1141"/>
      <c r="P78" s="1141"/>
      <c r="Q78" s="1141"/>
      <c r="R78" s="1141"/>
      <c r="S78" s="1141"/>
      <c r="T78" s="1141"/>
      <c r="U78" s="1135"/>
      <c r="V78" s="1141"/>
      <c r="W78" s="1141"/>
      <c r="X78" s="1141"/>
      <c r="Y78" s="1141"/>
      <c r="Z78" s="1141"/>
      <c r="AA78" s="1141"/>
      <c r="AB78" s="1141"/>
      <c r="AC78" s="1141"/>
      <c r="AD78" s="1141"/>
      <c r="AE78" s="1135"/>
      <c r="AF78" s="1141"/>
      <c r="AG78" s="1135"/>
      <c r="AH78" s="1141"/>
      <c r="AI78" s="1141"/>
      <c r="AJ78" s="1142"/>
      <c r="AK78" s="1137">
        <f t="shared" si="3"/>
        <v>0</v>
      </c>
      <c r="AL78" s="1137">
        <f t="shared" si="3"/>
        <v>0</v>
      </c>
    </row>
    <row r="79" spans="1:38" hidden="1" outlineLevel="2" x14ac:dyDescent="0.3">
      <c r="A79" s="1130"/>
      <c r="B79" s="1138"/>
      <c r="C79" s="1139"/>
      <c r="D79" s="1140"/>
      <c r="E79" s="1134"/>
      <c r="F79" s="1141"/>
      <c r="G79" s="1141"/>
      <c r="H79" s="1141"/>
      <c r="I79" s="1141"/>
      <c r="J79" s="1141"/>
      <c r="K79" s="1135"/>
      <c r="L79" s="1141"/>
      <c r="M79" s="1141"/>
      <c r="N79" s="1141"/>
      <c r="O79" s="1141"/>
      <c r="P79" s="1141"/>
      <c r="Q79" s="1141"/>
      <c r="R79" s="1141"/>
      <c r="S79" s="1141"/>
      <c r="T79" s="1141"/>
      <c r="U79" s="1135"/>
      <c r="V79" s="1141"/>
      <c r="W79" s="1141"/>
      <c r="X79" s="1141"/>
      <c r="Y79" s="1141"/>
      <c r="Z79" s="1141"/>
      <c r="AA79" s="1141"/>
      <c r="AB79" s="1141"/>
      <c r="AC79" s="1141"/>
      <c r="AD79" s="1141"/>
      <c r="AE79" s="1135"/>
      <c r="AF79" s="1141"/>
      <c r="AG79" s="1135"/>
      <c r="AH79" s="1141"/>
      <c r="AI79" s="1141"/>
      <c r="AJ79" s="1142"/>
      <c r="AK79" s="1137">
        <f t="shared" si="3"/>
        <v>0</v>
      </c>
      <c r="AL79" s="1137">
        <f t="shared" si="3"/>
        <v>0</v>
      </c>
    </row>
    <row r="80" spans="1:38" hidden="1" outlineLevel="2" x14ac:dyDescent="0.3">
      <c r="A80" s="1130"/>
      <c r="B80" s="1138"/>
      <c r="C80" s="1139"/>
      <c r="D80" s="1140"/>
      <c r="E80" s="1134"/>
      <c r="F80" s="1141"/>
      <c r="G80" s="1141"/>
      <c r="H80" s="1141"/>
      <c r="I80" s="1141"/>
      <c r="J80" s="1141"/>
      <c r="K80" s="1135"/>
      <c r="L80" s="1141"/>
      <c r="M80" s="1141"/>
      <c r="N80" s="1141"/>
      <c r="O80" s="1141"/>
      <c r="P80" s="1141"/>
      <c r="Q80" s="1141"/>
      <c r="R80" s="1141"/>
      <c r="S80" s="1141"/>
      <c r="T80" s="1141"/>
      <c r="U80" s="1135"/>
      <c r="V80" s="1141"/>
      <c r="W80" s="1141"/>
      <c r="X80" s="1141"/>
      <c r="Y80" s="1141"/>
      <c r="Z80" s="1141"/>
      <c r="AA80" s="1141"/>
      <c r="AB80" s="1141"/>
      <c r="AC80" s="1141"/>
      <c r="AD80" s="1141"/>
      <c r="AE80" s="1135"/>
      <c r="AF80" s="1141"/>
      <c r="AG80" s="1135"/>
      <c r="AH80" s="1141"/>
      <c r="AI80" s="1141"/>
      <c r="AJ80" s="1142"/>
      <c r="AK80" s="1137">
        <f t="shared" si="3"/>
        <v>0</v>
      </c>
      <c r="AL80" s="1137">
        <f t="shared" si="3"/>
        <v>0</v>
      </c>
    </row>
    <row r="81" spans="1:38" hidden="1" outlineLevel="2" x14ac:dyDescent="0.3">
      <c r="A81" s="1130"/>
      <c r="B81" s="1138"/>
      <c r="C81" s="1139"/>
      <c r="D81" s="1140"/>
      <c r="E81" s="1134"/>
      <c r="F81" s="1141"/>
      <c r="G81" s="1141"/>
      <c r="H81" s="1141"/>
      <c r="I81" s="1141"/>
      <c r="J81" s="1141"/>
      <c r="K81" s="1135"/>
      <c r="L81" s="1141"/>
      <c r="M81" s="1141"/>
      <c r="N81" s="1141"/>
      <c r="O81" s="1141"/>
      <c r="P81" s="1141"/>
      <c r="Q81" s="1141"/>
      <c r="R81" s="1141"/>
      <c r="S81" s="1141"/>
      <c r="T81" s="1141"/>
      <c r="U81" s="1135"/>
      <c r="V81" s="1141"/>
      <c r="W81" s="1141"/>
      <c r="X81" s="1141"/>
      <c r="Y81" s="1141"/>
      <c r="Z81" s="1141"/>
      <c r="AA81" s="1141"/>
      <c r="AB81" s="1141"/>
      <c r="AC81" s="1141"/>
      <c r="AD81" s="1141"/>
      <c r="AE81" s="1135"/>
      <c r="AF81" s="1141"/>
      <c r="AG81" s="1135"/>
      <c r="AH81" s="1141"/>
      <c r="AI81" s="1141"/>
      <c r="AJ81" s="1142"/>
      <c r="AK81" s="1137">
        <f t="shared" si="3"/>
        <v>0</v>
      </c>
      <c r="AL81" s="1137">
        <f t="shared" si="3"/>
        <v>0</v>
      </c>
    </row>
    <row r="82" spans="1:38" hidden="1" outlineLevel="2" x14ac:dyDescent="0.3">
      <c r="A82" s="1130"/>
      <c r="B82" s="1138"/>
      <c r="C82" s="1139"/>
      <c r="D82" s="1140"/>
      <c r="E82" s="1134"/>
      <c r="F82" s="1141"/>
      <c r="G82" s="1141"/>
      <c r="H82" s="1141"/>
      <c r="I82" s="1141"/>
      <c r="J82" s="1141"/>
      <c r="K82" s="1135"/>
      <c r="L82" s="1141"/>
      <c r="M82" s="1141"/>
      <c r="N82" s="1141"/>
      <c r="O82" s="1141"/>
      <c r="P82" s="1141"/>
      <c r="Q82" s="1141"/>
      <c r="R82" s="1141"/>
      <c r="S82" s="1141"/>
      <c r="T82" s="1141"/>
      <c r="U82" s="1135"/>
      <c r="V82" s="1141"/>
      <c r="W82" s="1141"/>
      <c r="X82" s="1141"/>
      <c r="Y82" s="1141"/>
      <c r="Z82" s="1141"/>
      <c r="AA82" s="1141"/>
      <c r="AB82" s="1141"/>
      <c r="AC82" s="1141"/>
      <c r="AD82" s="1141"/>
      <c r="AE82" s="1135"/>
      <c r="AF82" s="1141"/>
      <c r="AG82" s="1135"/>
      <c r="AH82" s="1141"/>
      <c r="AI82" s="1141"/>
      <c r="AJ82" s="1142"/>
      <c r="AK82" s="1137">
        <f t="shared" si="3"/>
        <v>0</v>
      </c>
      <c r="AL82" s="1137">
        <f t="shared" si="3"/>
        <v>0</v>
      </c>
    </row>
    <row r="83" spans="1:38" hidden="1" outlineLevel="2" x14ac:dyDescent="0.3">
      <c r="A83" s="1130"/>
      <c r="B83" s="1138"/>
      <c r="C83" s="1139"/>
      <c r="D83" s="1140"/>
      <c r="E83" s="1134"/>
      <c r="F83" s="1141"/>
      <c r="G83" s="1141"/>
      <c r="H83" s="1141"/>
      <c r="I83" s="1141"/>
      <c r="J83" s="1141"/>
      <c r="K83" s="1135"/>
      <c r="L83" s="1141"/>
      <c r="M83" s="1141"/>
      <c r="N83" s="1141"/>
      <c r="O83" s="1141"/>
      <c r="P83" s="1141"/>
      <c r="Q83" s="1141"/>
      <c r="R83" s="1141"/>
      <c r="S83" s="1141"/>
      <c r="T83" s="1141"/>
      <c r="U83" s="1135"/>
      <c r="V83" s="1141"/>
      <c r="W83" s="1141"/>
      <c r="X83" s="1141"/>
      <c r="Y83" s="1141"/>
      <c r="Z83" s="1141"/>
      <c r="AA83" s="1141"/>
      <c r="AB83" s="1141"/>
      <c r="AC83" s="1141"/>
      <c r="AD83" s="1141"/>
      <c r="AE83" s="1135"/>
      <c r="AF83" s="1141"/>
      <c r="AG83" s="1135"/>
      <c r="AH83" s="1141"/>
      <c r="AI83" s="1141"/>
      <c r="AJ83" s="1142"/>
      <c r="AK83" s="1137">
        <f t="shared" si="3"/>
        <v>0</v>
      </c>
      <c r="AL83" s="1137">
        <f t="shared" si="3"/>
        <v>0</v>
      </c>
    </row>
    <row r="84" spans="1:38" hidden="1" outlineLevel="2" x14ac:dyDescent="0.3">
      <c r="A84" s="1130"/>
      <c r="B84" s="1138"/>
      <c r="C84" s="1139"/>
      <c r="D84" s="1140"/>
      <c r="E84" s="1134"/>
      <c r="F84" s="1141"/>
      <c r="G84" s="1141"/>
      <c r="H84" s="1141"/>
      <c r="I84" s="1141"/>
      <c r="J84" s="1141"/>
      <c r="K84" s="1135"/>
      <c r="L84" s="1141"/>
      <c r="M84" s="1141"/>
      <c r="N84" s="1141"/>
      <c r="O84" s="1141"/>
      <c r="P84" s="1141"/>
      <c r="Q84" s="1141"/>
      <c r="R84" s="1141"/>
      <c r="S84" s="1141"/>
      <c r="T84" s="1141"/>
      <c r="U84" s="1135"/>
      <c r="V84" s="1141"/>
      <c r="W84" s="1141"/>
      <c r="X84" s="1141"/>
      <c r="Y84" s="1141"/>
      <c r="Z84" s="1141"/>
      <c r="AA84" s="1141"/>
      <c r="AB84" s="1141"/>
      <c r="AC84" s="1141"/>
      <c r="AD84" s="1141"/>
      <c r="AE84" s="1135"/>
      <c r="AF84" s="1141"/>
      <c r="AG84" s="1135"/>
      <c r="AH84" s="1141"/>
      <c r="AI84" s="1141"/>
      <c r="AJ84" s="1142"/>
      <c r="AK84" s="1137">
        <f t="shared" si="3"/>
        <v>0</v>
      </c>
      <c r="AL84" s="1137">
        <f t="shared" si="3"/>
        <v>0</v>
      </c>
    </row>
    <row r="85" spans="1:38" hidden="1" outlineLevel="2" x14ac:dyDescent="0.3">
      <c r="A85" s="1130"/>
      <c r="B85" s="1138"/>
      <c r="C85" s="1139"/>
      <c r="D85" s="1140"/>
      <c r="E85" s="1134"/>
      <c r="F85" s="1141"/>
      <c r="G85" s="1141"/>
      <c r="H85" s="1141"/>
      <c r="I85" s="1141"/>
      <c r="J85" s="1141"/>
      <c r="K85" s="1135"/>
      <c r="L85" s="1141"/>
      <c r="M85" s="1141"/>
      <c r="N85" s="1141"/>
      <c r="O85" s="1141"/>
      <c r="P85" s="1141"/>
      <c r="Q85" s="1141"/>
      <c r="R85" s="1141"/>
      <c r="S85" s="1141"/>
      <c r="T85" s="1141"/>
      <c r="U85" s="1135"/>
      <c r="V85" s="1141"/>
      <c r="W85" s="1141"/>
      <c r="X85" s="1141"/>
      <c r="Y85" s="1141"/>
      <c r="Z85" s="1141"/>
      <c r="AA85" s="1141"/>
      <c r="AB85" s="1141"/>
      <c r="AC85" s="1141"/>
      <c r="AD85" s="1141"/>
      <c r="AE85" s="1135"/>
      <c r="AF85" s="1141"/>
      <c r="AG85" s="1135"/>
      <c r="AH85" s="1141"/>
      <c r="AI85" s="1141"/>
      <c r="AJ85" s="1142"/>
      <c r="AK85" s="1137">
        <f t="shared" si="3"/>
        <v>0</v>
      </c>
      <c r="AL85" s="1137">
        <f t="shared" si="3"/>
        <v>0</v>
      </c>
    </row>
    <row r="86" spans="1:38" hidden="1" outlineLevel="2" x14ac:dyDescent="0.3">
      <c r="A86" s="1130"/>
      <c r="B86" s="1138"/>
      <c r="C86" s="1139"/>
      <c r="D86" s="1140"/>
      <c r="E86" s="1134"/>
      <c r="F86" s="1141"/>
      <c r="G86" s="1141"/>
      <c r="H86" s="1141"/>
      <c r="I86" s="1141"/>
      <c r="J86" s="1141"/>
      <c r="K86" s="1135"/>
      <c r="L86" s="1141"/>
      <c r="M86" s="1141"/>
      <c r="N86" s="1141"/>
      <c r="O86" s="1141"/>
      <c r="P86" s="1141"/>
      <c r="Q86" s="1141"/>
      <c r="R86" s="1141"/>
      <c r="S86" s="1141"/>
      <c r="T86" s="1141"/>
      <c r="U86" s="1135"/>
      <c r="V86" s="1141"/>
      <c r="W86" s="1141"/>
      <c r="X86" s="1141"/>
      <c r="Y86" s="1141"/>
      <c r="Z86" s="1141"/>
      <c r="AA86" s="1141"/>
      <c r="AB86" s="1141"/>
      <c r="AC86" s="1141"/>
      <c r="AD86" s="1141"/>
      <c r="AE86" s="1135"/>
      <c r="AF86" s="1141"/>
      <c r="AG86" s="1135"/>
      <c r="AH86" s="1141"/>
      <c r="AI86" s="1141"/>
      <c r="AJ86" s="1142"/>
      <c r="AK86" s="1137">
        <f t="shared" si="3"/>
        <v>0</v>
      </c>
      <c r="AL86" s="1137">
        <f t="shared" si="3"/>
        <v>0</v>
      </c>
    </row>
    <row r="87" spans="1:38" hidden="1" outlineLevel="2" x14ac:dyDescent="0.3">
      <c r="A87" s="1130"/>
      <c r="B87" s="1138"/>
      <c r="C87" s="1139"/>
      <c r="D87" s="1140"/>
      <c r="E87" s="1134"/>
      <c r="F87" s="1141"/>
      <c r="G87" s="1141"/>
      <c r="H87" s="1141"/>
      <c r="I87" s="1141"/>
      <c r="J87" s="1141"/>
      <c r="K87" s="1135"/>
      <c r="L87" s="1141"/>
      <c r="M87" s="1141"/>
      <c r="N87" s="1141"/>
      <c r="O87" s="1141"/>
      <c r="P87" s="1141"/>
      <c r="Q87" s="1141"/>
      <c r="R87" s="1141"/>
      <c r="S87" s="1141"/>
      <c r="T87" s="1141"/>
      <c r="U87" s="1135"/>
      <c r="V87" s="1141"/>
      <c r="W87" s="1141"/>
      <c r="X87" s="1141"/>
      <c r="Y87" s="1141"/>
      <c r="Z87" s="1141"/>
      <c r="AA87" s="1141"/>
      <c r="AB87" s="1141"/>
      <c r="AC87" s="1141"/>
      <c r="AD87" s="1141"/>
      <c r="AE87" s="1135"/>
      <c r="AF87" s="1141"/>
      <c r="AG87" s="1135"/>
      <c r="AH87" s="1141"/>
      <c r="AI87" s="1141"/>
      <c r="AJ87" s="1142"/>
      <c r="AK87" s="1137">
        <f t="shared" si="3"/>
        <v>0</v>
      </c>
      <c r="AL87" s="1137">
        <f t="shared" si="3"/>
        <v>0</v>
      </c>
    </row>
    <row r="88" spans="1:38" hidden="1" outlineLevel="2" x14ac:dyDescent="0.3">
      <c r="A88" s="1130"/>
      <c r="B88" s="1138"/>
      <c r="C88" s="1139"/>
      <c r="D88" s="1140"/>
      <c r="E88" s="1143"/>
      <c r="F88" s="1141"/>
      <c r="G88" s="1141"/>
      <c r="H88" s="1141"/>
      <c r="I88" s="1141"/>
      <c r="J88" s="1141"/>
      <c r="K88" s="1141"/>
      <c r="L88" s="1141"/>
      <c r="M88" s="1141"/>
      <c r="N88" s="1141"/>
      <c r="O88" s="1141"/>
      <c r="P88" s="1141"/>
      <c r="Q88" s="1141"/>
      <c r="R88" s="1141"/>
      <c r="S88" s="1141"/>
      <c r="T88" s="1141"/>
      <c r="U88" s="1135"/>
      <c r="V88" s="1141"/>
      <c r="W88" s="1141"/>
      <c r="X88" s="1141"/>
      <c r="Y88" s="1141"/>
      <c r="Z88" s="1141"/>
      <c r="AA88" s="1141"/>
      <c r="AB88" s="1141"/>
      <c r="AC88" s="1141"/>
      <c r="AD88" s="1141"/>
      <c r="AE88" s="1135"/>
      <c r="AF88" s="1141"/>
      <c r="AG88" s="1135"/>
      <c r="AH88" s="1141"/>
      <c r="AI88" s="1141"/>
      <c r="AJ88" s="1142"/>
      <c r="AK88" s="1137"/>
      <c r="AL88" s="1144"/>
    </row>
    <row r="89" spans="1:38" hidden="1" outlineLevel="2" x14ac:dyDescent="0.3">
      <c r="A89" s="1130"/>
      <c r="B89" s="1138"/>
      <c r="C89" s="1139"/>
      <c r="D89" s="1140"/>
      <c r="E89" s="1143"/>
      <c r="F89" s="1141"/>
      <c r="G89" s="1141"/>
      <c r="H89" s="1141"/>
      <c r="I89" s="1141"/>
      <c r="J89" s="1141"/>
      <c r="K89" s="1141"/>
      <c r="L89" s="1141"/>
      <c r="M89" s="1141"/>
      <c r="N89" s="1141"/>
      <c r="O89" s="1141"/>
      <c r="P89" s="1141"/>
      <c r="Q89" s="1141"/>
      <c r="R89" s="1141"/>
      <c r="S89" s="1141"/>
      <c r="T89" s="1141"/>
      <c r="U89" s="1141"/>
      <c r="V89" s="1141"/>
      <c r="W89" s="1141"/>
      <c r="X89" s="1141"/>
      <c r="Y89" s="1141"/>
      <c r="Z89" s="1141"/>
      <c r="AA89" s="1141"/>
      <c r="AB89" s="1141"/>
      <c r="AC89" s="1141"/>
      <c r="AD89" s="1141"/>
      <c r="AE89" s="1141"/>
      <c r="AF89" s="1141"/>
      <c r="AG89" s="1141"/>
      <c r="AH89" s="1141"/>
      <c r="AI89" s="1141"/>
      <c r="AJ89" s="1142"/>
      <c r="AK89" s="1142"/>
      <c r="AL89" s="1144"/>
    </row>
    <row r="90" spans="1:38" ht="15" outlineLevel="1" collapsed="1" thickBot="1" x14ac:dyDescent="0.35">
      <c r="A90" s="1130"/>
      <c r="B90" s="1145" t="s">
        <v>550</v>
      </c>
      <c r="C90" s="1146"/>
      <c r="D90" s="1147"/>
      <c r="E90" s="1148">
        <f t="shared" ref="E90:AL90" si="4">SUBTOTAL(9,E38:E89)</f>
        <v>0</v>
      </c>
      <c r="F90" s="1149">
        <f t="shared" si="4"/>
        <v>0</v>
      </c>
      <c r="G90" s="1149">
        <f t="shared" si="4"/>
        <v>0</v>
      </c>
      <c r="H90" s="1149">
        <f t="shared" si="4"/>
        <v>0</v>
      </c>
      <c r="I90" s="1149">
        <f t="shared" si="4"/>
        <v>0</v>
      </c>
      <c r="J90" s="1149">
        <f t="shared" si="4"/>
        <v>0</v>
      </c>
      <c r="K90" s="1149">
        <f t="shared" si="4"/>
        <v>0</v>
      </c>
      <c r="L90" s="1149">
        <f t="shared" si="4"/>
        <v>0</v>
      </c>
      <c r="M90" s="1149">
        <f t="shared" si="4"/>
        <v>0</v>
      </c>
      <c r="N90" s="1149">
        <f t="shared" si="4"/>
        <v>0</v>
      </c>
      <c r="O90" s="1149">
        <f t="shared" si="4"/>
        <v>0</v>
      </c>
      <c r="P90" s="1149">
        <f t="shared" si="4"/>
        <v>0</v>
      </c>
      <c r="Q90" s="1149">
        <f t="shared" si="4"/>
        <v>0</v>
      </c>
      <c r="R90" s="1149">
        <f t="shared" si="4"/>
        <v>0</v>
      </c>
      <c r="S90" s="1149">
        <f t="shared" si="4"/>
        <v>0</v>
      </c>
      <c r="T90" s="1149">
        <f t="shared" si="4"/>
        <v>0</v>
      </c>
      <c r="U90" s="1149">
        <f t="shared" si="4"/>
        <v>0</v>
      </c>
      <c r="V90" s="1149">
        <f t="shared" si="4"/>
        <v>0</v>
      </c>
      <c r="W90" s="1149"/>
      <c r="X90" s="1149">
        <f t="shared" si="4"/>
        <v>0</v>
      </c>
      <c r="Y90" s="1149">
        <f t="shared" si="4"/>
        <v>0</v>
      </c>
      <c r="Z90" s="1149">
        <f t="shared" si="4"/>
        <v>0</v>
      </c>
      <c r="AA90" s="1149">
        <f t="shared" si="4"/>
        <v>0</v>
      </c>
      <c r="AB90" s="1149">
        <f t="shared" si="4"/>
        <v>0</v>
      </c>
      <c r="AC90" s="1149">
        <f t="shared" si="4"/>
        <v>0</v>
      </c>
      <c r="AD90" s="1149">
        <f t="shared" si="4"/>
        <v>0</v>
      </c>
      <c r="AE90" s="1149">
        <f t="shared" si="4"/>
        <v>0</v>
      </c>
      <c r="AF90" s="1149">
        <f t="shared" si="4"/>
        <v>0</v>
      </c>
      <c r="AG90" s="1149">
        <f t="shared" si="4"/>
        <v>0</v>
      </c>
      <c r="AH90" s="1149">
        <f t="shared" si="4"/>
        <v>0</v>
      </c>
      <c r="AI90" s="1149">
        <f t="shared" si="4"/>
        <v>0</v>
      </c>
      <c r="AJ90" s="1149">
        <f t="shared" si="4"/>
        <v>0</v>
      </c>
      <c r="AK90" s="1149">
        <f>SUBTOTAL(9,AK36:AK89)</f>
        <v>0</v>
      </c>
      <c r="AL90" s="1149">
        <f t="shared" si="4"/>
        <v>0</v>
      </c>
    </row>
    <row r="91" spans="1:38" ht="36" outlineLevel="1" x14ac:dyDescent="0.35">
      <c r="A91" s="1150" t="s">
        <v>1460</v>
      </c>
      <c r="B91" s="1151"/>
      <c r="C91" s="1152"/>
      <c r="D91" s="1153"/>
      <c r="E91" s="1154"/>
      <c r="F91" s="1155"/>
      <c r="G91" s="1155"/>
      <c r="H91" s="1155"/>
      <c r="I91" s="1155"/>
      <c r="J91" s="1155"/>
      <c r="K91" s="1155"/>
      <c r="L91" s="1155"/>
      <c r="M91" s="1155"/>
      <c r="N91" s="1155"/>
      <c r="O91" s="1155"/>
      <c r="P91" s="1155"/>
      <c r="Q91" s="1155"/>
      <c r="R91" s="1155"/>
      <c r="S91" s="1155"/>
      <c r="T91" s="1155"/>
      <c r="U91" s="1155"/>
      <c r="V91" s="1155"/>
      <c r="W91" s="1155"/>
      <c r="X91" s="1155"/>
      <c r="Y91" s="1155"/>
      <c r="Z91" s="1155"/>
      <c r="AA91" s="1155"/>
      <c r="AB91" s="1155"/>
      <c r="AC91" s="1155"/>
      <c r="AD91" s="1155"/>
      <c r="AE91" s="1155"/>
      <c r="AF91" s="1155"/>
      <c r="AG91" s="1155"/>
      <c r="AH91" s="1155"/>
      <c r="AI91" s="1155"/>
      <c r="AJ91" s="1156"/>
      <c r="AK91" s="1156">
        <f t="shared" ref="AK91:AL106" si="5">SUM(E91,G91,I91)-SUM(K91,M91,O91,Q91,S91,U91,W91,Y91,AA91,AC91,AE91,AG91,AI91)</f>
        <v>0</v>
      </c>
      <c r="AL91" s="1157">
        <f t="shared" si="5"/>
        <v>0</v>
      </c>
    </row>
    <row r="92" spans="1:38" hidden="1" outlineLevel="2" x14ac:dyDescent="0.3">
      <c r="A92" s="1158"/>
      <c r="B92" s="1159"/>
      <c r="C92" s="1160"/>
      <c r="D92" s="1161"/>
      <c r="E92" s="1162"/>
      <c r="F92" s="1163"/>
      <c r="G92" s="1163"/>
      <c r="H92" s="1163"/>
      <c r="I92" s="1163"/>
      <c r="J92" s="1163"/>
      <c r="K92" s="1163"/>
      <c r="L92" s="1163"/>
      <c r="M92" s="1163"/>
      <c r="N92" s="1163"/>
      <c r="O92" s="1163"/>
      <c r="P92" s="1163"/>
      <c r="Q92" s="1163"/>
      <c r="R92" s="1163"/>
      <c r="S92" s="1163"/>
      <c r="T92" s="1163"/>
      <c r="U92" s="1163"/>
      <c r="V92" s="1163"/>
      <c r="W92" s="1163"/>
      <c r="X92" s="1163"/>
      <c r="Y92" s="1163"/>
      <c r="Z92" s="1163"/>
      <c r="AA92" s="1163"/>
      <c r="AB92" s="1163"/>
      <c r="AC92" s="1163"/>
      <c r="AD92" s="1163"/>
      <c r="AE92" s="1163"/>
      <c r="AF92" s="1163"/>
      <c r="AG92" s="1163"/>
      <c r="AH92" s="1163"/>
      <c r="AI92" s="1163"/>
      <c r="AJ92" s="1164"/>
      <c r="AK92" s="1164">
        <f t="shared" si="5"/>
        <v>0</v>
      </c>
      <c r="AL92" s="1165">
        <f t="shared" si="5"/>
        <v>0</v>
      </c>
    </row>
    <row r="93" spans="1:38" hidden="1" outlineLevel="2" x14ac:dyDescent="0.3">
      <c r="A93" s="1158"/>
      <c r="B93" s="1159"/>
      <c r="C93" s="1160"/>
      <c r="D93" s="1161"/>
      <c r="E93" s="1162"/>
      <c r="F93" s="1163"/>
      <c r="G93" s="1163"/>
      <c r="H93" s="1163"/>
      <c r="I93" s="1163"/>
      <c r="J93" s="1163"/>
      <c r="K93" s="1163"/>
      <c r="L93" s="1163"/>
      <c r="M93" s="1163"/>
      <c r="N93" s="1163"/>
      <c r="O93" s="1163"/>
      <c r="P93" s="1163"/>
      <c r="Q93" s="1163"/>
      <c r="R93" s="1163"/>
      <c r="S93" s="1163"/>
      <c r="T93" s="1163"/>
      <c r="U93" s="1163"/>
      <c r="V93" s="1163"/>
      <c r="W93" s="1163"/>
      <c r="X93" s="1163"/>
      <c r="Y93" s="1163"/>
      <c r="Z93" s="1163"/>
      <c r="AA93" s="1163"/>
      <c r="AB93" s="1163"/>
      <c r="AC93" s="1163"/>
      <c r="AD93" s="1163"/>
      <c r="AE93" s="1163"/>
      <c r="AF93" s="1163"/>
      <c r="AG93" s="1163"/>
      <c r="AH93" s="1163"/>
      <c r="AI93" s="1163"/>
      <c r="AJ93" s="1164"/>
      <c r="AK93" s="1164">
        <f t="shared" si="5"/>
        <v>0</v>
      </c>
      <c r="AL93" s="1165">
        <f t="shared" si="5"/>
        <v>0</v>
      </c>
    </row>
    <row r="94" spans="1:38" hidden="1" outlineLevel="2" x14ac:dyDescent="0.3">
      <c r="A94" s="1158"/>
      <c r="B94" s="1159"/>
      <c r="C94" s="1160"/>
      <c r="D94" s="1161"/>
      <c r="E94" s="1162"/>
      <c r="F94" s="1163"/>
      <c r="G94" s="1163"/>
      <c r="H94" s="1163"/>
      <c r="I94" s="1163"/>
      <c r="J94" s="1163"/>
      <c r="K94" s="1163"/>
      <c r="L94" s="1163"/>
      <c r="M94" s="1163"/>
      <c r="N94" s="1163"/>
      <c r="O94" s="1163"/>
      <c r="P94" s="1163"/>
      <c r="Q94" s="1163"/>
      <c r="R94" s="1163"/>
      <c r="S94" s="1163"/>
      <c r="T94" s="1163"/>
      <c r="U94" s="1163"/>
      <c r="V94" s="1163"/>
      <c r="W94" s="1163"/>
      <c r="X94" s="1163"/>
      <c r="Y94" s="1163"/>
      <c r="Z94" s="1163"/>
      <c r="AA94" s="1163"/>
      <c r="AB94" s="1163"/>
      <c r="AC94" s="1163"/>
      <c r="AD94" s="1163"/>
      <c r="AE94" s="1163"/>
      <c r="AF94" s="1163"/>
      <c r="AG94" s="1163"/>
      <c r="AH94" s="1163"/>
      <c r="AI94" s="1163"/>
      <c r="AJ94" s="1164"/>
      <c r="AK94" s="1164">
        <f t="shared" si="5"/>
        <v>0</v>
      </c>
      <c r="AL94" s="1165">
        <f t="shared" si="5"/>
        <v>0</v>
      </c>
    </row>
    <row r="95" spans="1:38" hidden="1" outlineLevel="2" x14ac:dyDescent="0.3">
      <c r="A95" s="1158"/>
      <c r="B95" s="1166"/>
      <c r="C95" s="1167"/>
      <c r="D95" s="1168"/>
      <c r="E95" s="1169"/>
      <c r="F95" s="1170"/>
      <c r="G95" s="1170"/>
      <c r="H95" s="1170"/>
      <c r="I95" s="1170"/>
      <c r="J95" s="1170"/>
      <c r="K95" s="1170"/>
      <c r="L95" s="1170"/>
      <c r="M95" s="1170"/>
      <c r="N95" s="1170"/>
      <c r="O95" s="1170"/>
      <c r="P95" s="1170"/>
      <c r="Q95" s="1170"/>
      <c r="R95" s="1170"/>
      <c r="S95" s="1170"/>
      <c r="T95" s="1170"/>
      <c r="U95" s="1170"/>
      <c r="V95" s="1170"/>
      <c r="W95" s="1170"/>
      <c r="X95" s="1170"/>
      <c r="Y95" s="1170"/>
      <c r="Z95" s="1170"/>
      <c r="AA95" s="1170"/>
      <c r="AB95" s="1170"/>
      <c r="AC95" s="1170"/>
      <c r="AD95" s="1170"/>
      <c r="AE95" s="1170"/>
      <c r="AF95" s="1170"/>
      <c r="AG95" s="1170"/>
      <c r="AH95" s="1170"/>
      <c r="AI95" s="1170"/>
      <c r="AJ95" s="1171"/>
      <c r="AK95" s="1171">
        <f t="shared" si="5"/>
        <v>0</v>
      </c>
      <c r="AL95" s="1172">
        <f t="shared" si="5"/>
        <v>0</v>
      </c>
    </row>
    <row r="96" spans="1:38" hidden="1" outlineLevel="2" x14ac:dyDescent="0.3">
      <c r="A96" s="1158"/>
      <c r="B96" s="1166"/>
      <c r="C96" s="1167"/>
      <c r="D96" s="1168"/>
      <c r="E96" s="1169"/>
      <c r="F96" s="1170"/>
      <c r="G96" s="1170"/>
      <c r="H96" s="1170"/>
      <c r="I96" s="1170"/>
      <c r="J96" s="1170"/>
      <c r="K96" s="1170"/>
      <c r="L96" s="1170"/>
      <c r="M96" s="1170"/>
      <c r="N96" s="1170"/>
      <c r="O96" s="1170"/>
      <c r="P96" s="1170"/>
      <c r="Q96" s="1170"/>
      <c r="R96" s="1170"/>
      <c r="S96" s="1170"/>
      <c r="T96" s="1170"/>
      <c r="U96" s="1170"/>
      <c r="V96" s="1170"/>
      <c r="W96" s="1170"/>
      <c r="X96" s="1170"/>
      <c r="Y96" s="1170"/>
      <c r="Z96" s="1170"/>
      <c r="AA96" s="1170"/>
      <c r="AB96" s="1170"/>
      <c r="AC96" s="1170"/>
      <c r="AD96" s="1170"/>
      <c r="AE96" s="1170"/>
      <c r="AF96" s="1170"/>
      <c r="AG96" s="1170"/>
      <c r="AH96" s="1170"/>
      <c r="AI96" s="1170"/>
      <c r="AJ96" s="1171"/>
      <c r="AK96" s="1171">
        <f t="shared" si="5"/>
        <v>0</v>
      </c>
      <c r="AL96" s="1172">
        <f t="shared" si="5"/>
        <v>0</v>
      </c>
    </row>
    <row r="97" spans="1:38" hidden="1" outlineLevel="2" x14ac:dyDescent="0.3">
      <c r="A97" s="1158"/>
      <c r="B97" s="1166"/>
      <c r="C97" s="1167"/>
      <c r="D97" s="1168"/>
      <c r="E97" s="1169"/>
      <c r="F97" s="1170"/>
      <c r="G97" s="1170"/>
      <c r="H97" s="1170"/>
      <c r="I97" s="1170"/>
      <c r="J97" s="1170"/>
      <c r="K97" s="1170"/>
      <c r="L97" s="1170"/>
      <c r="M97" s="1170"/>
      <c r="N97" s="1170"/>
      <c r="O97" s="1170"/>
      <c r="P97" s="1170"/>
      <c r="Q97" s="1170"/>
      <c r="R97" s="1170"/>
      <c r="S97" s="1170"/>
      <c r="T97" s="1170"/>
      <c r="U97" s="1170"/>
      <c r="V97" s="1170"/>
      <c r="W97" s="1170"/>
      <c r="X97" s="1170"/>
      <c r="Y97" s="1170"/>
      <c r="Z97" s="1170"/>
      <c r="AA97" s="1170"/>
      <c r="AB97" s="1170"/>
      <c r="AC97" s="1170"/>
      <c r="AD97" s="1170"/>
      <c r="AE97" s="1170"/>
      <c r="AF97" s="1170"/>
      <c r="AG97" s="1170"/>
      <c r="AH97" s="1170"/>
      <c r="AI97" s="1170"/>
      <c r="AJ97" s="1171"/>
      <c r="AK97" s="1171">
        <f t="shared" si="5"/>
        <v>0</v>
      </c>
      <c r="AL97" s="1172">
        <f t="shared" si="5"/>
        <v>0</v>
      </c>
    </row>
    <row r="98" spans="1:38" hidden="1" outlineLevel="2" x14ac:dyDescent="0.3">
      <c r="A98" s="1158"/>
      <c r="B98" s="1166"/>
      <c r="C98" s="1167"/>
      <c r="D98" s="1168"/>
      <c r="E98" s="1169"/>
      <c r="F98" s="1170"/>
      <c r="G98" s="1170"/>
      <c r="H98" s="1170"/>
      <c r="I98" s="1170"/>
      <c r="J98" s="1170"/>
      <c r="K98" s="1170"/>
      <c r="L98" s="1170"/>
      <c r="M98" s="1170"/>
      <c r="N98" s="1170"/>
      <c r="O98" s="1170"/>
      <c r="P98" s="1170"/>
      <c r="Q98" s="1170"/>
      <c r="R98" s="1170"/>
      <c r="S98" s="1170"/>
      <c r="T98" s="1170"/>
      <c r="U98" s="1170"/>
      <c r="V98" s="1170"/>
      <c r="W98" s="1170"/>
      <c r="X98" s="1170"/>
      <c r="Y98" s="1170"/>
      <c r="Z98" s="1170"/>
      <c r="AA98" s="1170"/>
      <c r="AB98" s="1170"/>
      <c r="AC98" s="1170"/>
      <c r="AD98" s="1170"/>
      <c r="AE98" s="1170"/>
      <c r="AF98" s="1170"/>
      <c r="AG98" s="1170"/>
      <c r="AH98" s="1170"/>
      <c r="AI98" s="1170"/>
      <c r="AJ98" s="1171"/>
      <c r="AK98" s="1171">
        <f t="shared" si="5"/>
        <v>0</v>
      </c>
      <c r="AL98" s="1172">
        <f t="shared" si="5"/>
        <v>0</v>
      </c>
    </row>
    <row r="99" spans="1:38" hidden="1" outlineLevel="2" x14ac:dyDescent="0.3">
      <c r="A99" s="1158"/>
      <c r="B99" s="1166"/>
      <c r="C99" s="1167"/>
      <c r="D99" s="1168"/>
      <c r="E99" s="1169"/>
      <c r="F99" s="1170"/>
      <c r="G99" s="1170"/>
      <c r="H99" s="1170"/>
      <c r="I99" s="1170"/>
      <c r="J99" s="1170"/>
      <c r="K99" s="1170"/>
      <c r="L99" s="1170"/>
      <c r="M99" s="1170"/>
      <c r="N99" s="1170"/>
      <c r="O99" s="1170"/>
      <c r="P99" s="1170"/>
      <c r="Q99" s="1170"/>
      <c r="R99" s="1170"/>
      <c r="S99" s="1170"/>
      <c r="T99" s="1170"/>
      <c r="U99" s="1170"/>
      <c r="V99" s="1170"/>
      <c r="W99" s="1170"/>
      <c r="X99" s="1170"/>
      <c r="Y99" s="1170"/>
      <c r="Z99" s="1170"/>
      <c r="AA99" s="1170"/>
      <c r="AB99" s="1170"/>
      <c r="AC99" s="1170"/>
      <c r="AD99" s="1170"/>
      <c r="AE99" s="1170"/>
      <c r="AF99" s="1170"/>
      <c r="AG99" s="1170"/>
      <c r="AH99" s="1170"/>
      <c r="AI99" s="1170"/>
      <c r="AJ99" s="1171"/>
      <c r="AK99" s="1171">
        <f t="shared" si="5"/>
        <v>0</v>
      </c>
      <c r="AL99" s="1172">
        <f t="shared" si="5"/>
        <v>0</v>
      </c>
    </row>
    <row r="100" spans="1:38" hidden="1" outlineLevel="2" x14ac:dyDescent="0.3">
      <c r="A100" s="1158"/>
      <c r="B100" s="1166"/>
      <c r="C100" s="1167"/>
      <c r="D100" s="1168"/>
      <c r="E100" s="1169"/>
      <c r="F100" s="1170"/>
      <c r="G100" s="1170"/>
      <c r="H100" s="1170"/>
      <c r="I100" s="1170"/>
      <c r="J100" s="1170"/>
      <c r="K100" s="1170"/>
      <c r="L100" s="1170"/>
      <c r="M100" s="1170"/>
      <c r="N100" s="1170"/>
      <c r="O100" s="1170"/>
      <c r="P100" s="1170"/>
      <c r="Q100" s="1170"/>
      <c r="R100" s="1170"/>
      <c r="S100" s="1170"/>
      <c r="T100" s="1170"/>
      <c r="U100" s="1170"/>
      <c r="V100" s="1170"/>
      <c r="W100" s="1170"/>
      <c r="X100" s="1170"/>
      <c r="Y100" s="1170"/>
      <c r="Z100" s="1170"/>
      <c r="AA100" s="1170"/>
      <c r="AB100" s="1170"/>
      <c r="AC100" s="1170"/>
      <c r="AD100" s="1170"/>
      <c r="AE100" s="1170"/>
      <c r="AF100" s="1170"/>
      <c r="AG100" s="1170"/>
      <c r="AH100" s="1170"/>
      <c r="AI100" s="1170"/>
      <c r="AJ100" s="1171"/>
      <c r="AK100" s="1171">
        <f t="shared" si="5"/>
        <v>0</v>
      </c>
      <c r="AL100" s="1172">
        <f t="shared" si="5"/>
        <v>0</v>
      </c>
    </row>
    <row r="101" spans="1:38" ht="15" outlineLevel="1" collapsed="1" thickBot="1" x14ac:dyDescent="0.35">
      <c r="A101" s="1158"/>
      <c r="B101" s="1173" t="s">
        <v>550</v>
      </c>
      <c r="C101" s="1174"/>
      <c r="D101" s="1175"/>
      <c r="E101" s="1176">
        <f t="shared" ref="E101:AJ101" si="6">SUBTOTAL(9,E91:E100)</f>
        <v>0</v>
      </c>
      <c r="F101" s="1177">
        <f t="shared" si="6"/>
        <v>0</v>
      </c>
      <c r="G101" s="1177">
        <f t="shared" si="6"/>
        <v>0</v>
      </c>
      <c r="H101" s="1177">
        <f t="shared" si="6"/>
        <v>0</v>
      </c>
      <c r="I101" s="1177">
        <f t="shared" si="6"/>
        <v>0</v>
      </c>
      <c r="J101" s="1177">
        <f t="shared" si="6"/>
        <v>0</v>
      </c>
      <c r="K101" s="1177">
        <f t="shared" si="6"/>
        <v>0</v>
      </c>
      <c r="L101" s="1177">
        <f t="shared" si="6"/>
        <v>0</v>
      </c>
      <c r="M101" s="1177">
        <f t="shared" si="6"/>
        <v>0</v>
      </c>
      <c r="N101" s="1177">
        <f t="shared" si="6"/>
        <v>0</v>
      </c>
      <c r="O101" s="1177">
        <f t="shared" si="6"/>
        <v>0</v>
      </c>
      <c r="P101" s="1177">
        <f t="shared" si="6"/>
        <v>0</v>
      </c>
      <c r="Q101" s="1177">
        <f t="shared" si="6"/>
        <v>0</v>
      </c>
      <c r="R101" s="1177">
        <f t="shared" si="6"/>
        <v>0</v>
      </c>
      <c r="S101" s="1177">
        <f t="shared" si="6"/>
        <v>0</v>
      </c>
      <c r="T101" s="1177">
        <f t="shared" si="6"/>
        <v>0</v>
      </c>
      <c r="U101" s="1177">
        <f t="shared" si="6"/>
        <v>0</v>
      </c>
      <c r="V101" s="1177">
        <f t="shared" si="6"/>
        <v>0</v>
      </c>
      <c r="W101" s="1177">
        <f t="shared" si="6"/>
        <v>0</v>
      </c>
      <c r="X101" s="1177">
        <f t="shared" si="6"/>
        <v>0</v>
      </c>
      <c r="Y101" s="1177">
        <f t="shared" si="6"/>
        <v>0</v>
      </c>
      <c r="Z101" s="1177">
        <f t="shared" si="6"/>
        <v>0</v>
      </c>
      <c r="AA101" s="1177">
        <f t="shared" si="6"/>
        <v>0</v>
      </c>
      <c r="AB101" s="1177">
        <f t="shared" si="6"/>
        <v>0</v>
      </c>
      <c r="AC101" s="1177">
        <f t="shared" si="6"/>
        <v>0</v>
      </c>
      <c r="AD101" s="1177">
        <f t="shared" si="6"/>
        <v>0</v>
      </c>
      <c r="AE101" s="1177">
        <f t="shared" si="6"/>
        <v>0</v>
      </c>
      <c r="AF101" s="1177">
        <f t="shared" si="6"/>
        <v>0</v>
      </c>
      <c r="AG101" s="1177">
        <f t="shared" si="6"/>
        <v>0</v>
      </c>
      <c r="AH101" s="1177">
        <f t="shared" si="6"/>
        <v>0</v>
      </c>
      <c r="AI101" s="1177">
        <f t="shared" si="6"/>
        <v>0</v>
      </c>
      <c r="AJ101" s="1178">
        <f t="shared" si="6"/>
        <v>0</v>
      </c>
      <c r="AK101" s="1178">
        <f>SUBTOTAL(9,AK91:AK100)</f>
        <v>0</v>
      </c>
      <c r="AL101" s="1179">
        <f>SUBTOTAL(9,AL91:AL100)</f>
        <v>0</v>
      </c>
    </row>
    <row r="102" spans="1:38" ht="18" outlineLevel="1" x14ac:dyDescent="0.35">
      <c r="A102" s="1180" t="s">
        <v>1464</v>
      </c>
      <c r="B102" s="1181"/>
      <c r="C102" s="1182"/>
      <c r="D102" s="1183"/>
      <c r="E102" s="1184"/>
      <c r="F102" s="1185"/>
      <c r="G102" s="1185"/>
      <c r="H102" s="1185"/>
      <c r="I102" s="1185"/>
      <c r="J102" s="1185"/>
      <c r="K102" s="1185"/>
      <c r="L102" s="1185"/>
      <c r="M102" s="1185"/>
      <c r="N102" s="1185"/>
      <c r="O102" s="1185"/>
      <c r="P102" s="1185"/>
      <c r="Q102" s="1185"/>
      <c r="R102" s="1185"/>
      <c r="S102" s="1185"/>
      <c r="T102" s="1185"/>
      <c r="U102" s="1185"/>
      <c r="V102" s="1185"/>
      <c r="W102" s="1185"/>
      <c r="X102" s="1185"/>
      <c r="Y102" s="1185"/>
      <c r="Z102" s="1185"/>
      <c r="AA102" s="1185"/>
      <c r="AB102" s="1185"/>
      <c r="AC102" s="1185"/>
      <c r="AD102" s="1185"/>
      <c r="AE102" s="1185"/>
      <c r="AF102" s="1185"/>
      <c r="AG102" s="1185"/>
      <c r="AH102" s="1185"/>
      <c r="AI102" s="1185"/>
      <c r="AJ102" s="1186"/>
      <c r="AK102" s="1186">
        <f t="shared" si="5"/>
        <v>0</v>
      </c>
      <c r="AL102" s="1187">
        <f t="shared" si="5"/>
        <v>0</v>
      </c>
    </row>
    <row r="103" spans="1:38" hidden="1" outlineLevel="2" x14ac:dyDescent="0.3">
      <c r="A103" s="1188"/>
      <c r="B103" s="1189"/>
      <c r="C103" s="1190"/>
      <c r="D103" s="1191"/>
      <c r="E103" s="1192"/>
      <c r="F103" s="1193"/>
      <c r="G103" s="1193"/>
      <c r="H103" s="1193"/>
      <c r="I103" s="1193"/>
      <c r="J103" s="1193"/>
      <c r="K103" s="1193"/>
      <c r="L103" s="1193"/>
      <c r="M103" s="1193"/>
      <c r="N103" s="1193"/>
      <c r="O103" s="1193"/>
      <c r="P103" s="1193"/>
      <c r="Q103" s="1193"/>
      <c r="R103" s="1193"/>
      <c r="S103" s="1193"/>
      <c r="T103" s="1193"/>
      <c r="U103" s="1193"/>
      <c r="V103" s="1193"/>
      <c r="W103" s="1193"/>
      <c r="X103" s="1193"/>
      <c r="Y103" s="1193"/>
      <c r="Z103" s="1193"/>
      <c r="AA103" s="1193"/>
      <c r="AB103" s="1193"/>
      <c r="AC103" s="1193"/>
      <c r="AD103" s="1193"/>
      <c r="AE103" s="1193"/>
      <c r="AF103" s="1193"/>
      <c r="AG103" s="1193"/>
      <c r="AH103" s="1193"/>
      <c r="AI103" s="1193"/>
      <c r="AJ103" s="1194"/>
      <c r="AK103" s="1194">
        <f t="shared" si="5"/>
        <v>0</v>
      </c>
      <c r="AL103" s="1195">
        <f t="shared" si="5"/>
        <v>0</v>
      </c>
    </row>
    <row r="104" spans="1:38" hidden="1" outlineLevel="2" x14ac:dyDescent="0.3">
      <c r="A104" s="1188"/>
      <c r="B104" s="1189"/>
      <c r="C104" s="1190"/>
      <c r="D104" s="1191"/>
      <c r="E104" s="1192"/>
      <c r="F104" s="1193"/>
      <c r="G104" s="1193"/>
      <c r="H104" s="1193"/>
      <c r="I104" s="1193"/>
      <c r="J104" s="1193"/>
      <c r="K104" s="1193"/>
      <c r="L104" s="1193"/>
      <c r="M104" s="1193"/>
      <c r="N104" s="1193"/>
      <c r="O104" s="1193"/>
      <c r="P104" s="1193"/>
      <c r="Q104" s="1193"/>
      <c r="R104" s="1193"/>
      <c r="S104" s="1193"/>
      <c r="T104" s="1193"/>
      <c r="U104" s="1193"/>
      <c r="V104" s="1193"/>
      <c r="W104" s="1193"/>
      <c r="X104" s="1193"/>
      <c r="Y104" s="1193"/>
      <c r="Z104" s="1193"/>
      <c r="AA104" s="1193"/>
      <c r="AB104" s="1193"/>
      <c r="AC104" s="1193"/>
      <c r="AD104" s="1193"/>
      <c r="AE104" s="1193"/>
      <c r="AF104" s="1193"/>
      <c r="AG104" s="1193"/>
      <c r="AH104" s="1193"/>
      <c r="AI104" s="1193"/>
      <c r="AJ104" s="1194"/>
      <c r="AK104" s="1194">
        <f t="shared" si="5"/>
        <v>0</v>
      </c>
      <c r="AL104" s="1195">
        <f t="shared" si="5"/>
        <v>0</v>
      </c>
    </row>
    <row r="105" spans="1:38" hidden="1" outlineLevel="2" x14ac:dyDescent="0.3">
      <c r="A105" s="1188"/>
      <c r="B105" s="1196"/>
      <c r="C105" s="1197"/>
      <c r="D105" s="1198"/>
      <c r="E105" s="1199"/>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c r="AA105" s="1200"/>
      <c r="AB105" s="1200"/>
      <c r="AC105" s="1200"/>
      <c r="AD105" s="1200"/>
      <c r="AE105" s="1200"/>
      <c r="AF105" s="1200"/>
      <c r="AG105" s="1200"/>
      <c r="AH105" s="1200"/>
      <c r="AI105" s="1200"/>
      <c r="AJ105" s="1201"/>
      <c r="AK105" s="1201">
        <f t="shared" si="5"/>
        <v>0</v>
      </c>
      <c r="AL105" s="1202">
        <f t="shared" si="5"/>
        <v>0</v>
      </c>
    </row>
    <row r="106" spans="1:38" hidden="1" outlineLevel="2" x14ac:dyDescent="0.3">
      <c r="A106" s="1188"/>
      <c r="B106" s="1196"/>
      <c r="C106" s="1197"/>
      <c r="D106" s="1198"/>
      <c r="E106" s="1199"/>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c r="AA106" s="1200"/>
      <c r="AB106" s="1200"/>
      <c r="AC106" s="1200"/>
      <c r="AD106" s="1200"/>
      <c r="AE106" s="1200"/>
      <c r="AF106" s="1200"/>
      <c r="AG106" s="1200"/>
      <c r="AH106" s="1200"/>
      <c r="AI106" s="1200"/>
      <c r="AJ106" s="1201"/>
      <c r="AK106" s="1201">
        <f t="shared" si="5"/>
        <v>0</v>
      </c>
      <c r="AL106" s="1202">
        <f t="shared" si="5"/>
        <v>0</v>
      </c>
    </row>
    <row r="107" spans="1:38" hidden="1" outlineLevel="2" x14ac:dyDescent="0.3">
      <c r="A107" s="1188"/>
      <c r="B107" s="1196"/>
      <c r="C107" s="1197"/>
      <c r="D107" s="1198"/>
      <c r="E107" s="1199"/>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c r="AA107" s="1200"/>
      <c r="AB107" s="1200"/>
      <c r="AC107" s="1200"/>
      <c r="AD107" s="1200"/>
      <c r="AE107" s="1200"/>
      <c r="AF107" s="1200"/>
      <c r="AG107" s="1200"/>
      <c r="AH107" s="1200"/>
      <c r="AI107" s="1200"/>
      <c r="AJ107" s="1201"/>
      <c r="AK107" s="1201">
        <f t="shared" ref="AK107:AL109" si="7">SUM(E107,G107,I107)-SUM(K107,M107,O107,Q107,S107,U107,W107,Y107,AA107,AC107,AE107,AG107,AI107)</f>
        <v>0</v>
      </c>
      <c r="AL107" s="1202">
        <f t="shared" si="7"/>
        <v>0</v>
      </c>
    </row>
    <row r="108" spans="1:38" hidden="1" outlineLevel="2" x14ac:dyDescent="0.3">
      <c r="A108" s="1188"/>
      <c r="B108" s="1196"/>
      <c r="C108" s="1197"/>
      <c r="D108" s="1198"/>
      <c r="E108" s="1199"/>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c r="AA108" s="1200"/>
      <c r="AB108" s="1200"/>
      <c r="AC108" s="1200"/>
      <c r="AD108" s="1200"/>
      <c r="AE108" s="1200"/>
      <c r="AF108" s="1200"/>
      <c r="AG108" s="1200"/>
      <c r="AH108" s="1200"/>
      <c r="AI108" s="1200"/>
      <c r="AJ108" s="1201"/>
      <c r="AK108" s="1201">
        <f t="shared" si="7"/>
        <v>0</v>
      </c>
      <c r="AL108" s="1202">
        <f t="shared" si="7"/>
        <v>0</v>
      </c>
    </row>
    <row r="109" spans="1:38" hidden="1" outlineLevel="2" x14ac:dyDescent="0.3">
      <c r="A109" s="1188"/>
      <c r="B109" s="1196"/>
      <c r="C109" s="1197"/>
      <c r="D109" s="1198"/>
      <c r="E109" s="1199"/>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c r="AA109" s="1200"/>
      <c r="AB109" s="1200"/>
      <c r="AC109" s="1200"/>
      <c r="AD109" s="1200"/>
      <c r="AE109" s="1200"/>
      <c r="AF109" s="1200"/>
      <c r="AG109" s="1200"/>
      <c r="AH109" s="1200"/>
      <c r="AI109" s="1200"/>
      <c r="AJ109" s="1201"/>
      <c r="AK109" s="1201">
        <f t="shared" si="7"/>
        <v>0</v>
      </c>
      <c r="AL109" s="1202">
        <f t="shared" si="7"/>
        <v>0</v>
      </c>
    </row>
    <row r="110" spans="1:38" ht="15" outlineLevel="1" collapsed="1" thickBot="1" x14ac:dyDescent="0.35">
      <c r="A110" s="1188"/>
      <c r="B110" s="1203" t="s">
        <v>550</v>
      </c>
      <c r="C110" s="1204"/>
      <c r="D110" s="1205"/>
      <c r="E110" s="1206">
        <f t="shared" ref="E110:AI110" si="8">SUBTOTAL(9,E102:E109)</f>
        <v>0</v>
      </c>
      <c r="F110" s="1207">
        <f t="shared" si="8"/>
        <v>0</v>
      </c>
      <c r="G110" s="1207">
        <f t="shared" si="8"/>
        <v>0</v>
      </c>
      <c r="H110" s="1207">
        <f t="shared" si="8"/>
        <v>0</v>
      </c>
      <c r="I110" s="1207">
        <f t="shared" si="8"/>
        <v>0</v>
      </c>
      <c r="J110" s="1207">
        <f t="shared" si="8"/>
        <v>0</v>
      </c>
      <c r="K110" s="1207">
        <f t="shared" si="8"/>
        <v>0</v>
      </c>
      <c r="L110" s="1207">
        <f t="shared" si="8"/>
        <v>0</v>
      </c>
      <c r="M110" s="1207">
        <f t="shared" si="8"/>
        <v>0</v>
      </c>
      <c r="N110" s="1207">
        <f t="shared" si="8"/>
        <v>0</v>
      </c>
      <c r="O110" s="1207">
        <f t="shared" si="8"/>
        <v>0</v>
      </c>
      <c r="P110" s="1207">
        <f t="shared" si="8"/>
        <v>0</v>
      </c>
      <c r="Q110" s="1207">
        <f t="shared" si="8"/>
        <v>0</v>
      </c>
      <c r="R110" s="1207">
        <f t="shared" si="8"/>
        <v>0</v>
      </c>
      <c r="S110" s="1207">
        <f t="shared" si="8"/>
        <v>0</v>
      </c>
      <c r="T110" s="1207">
        <f t="shared" si="8"/>
        <v>0</v>
      </c>
      <c r="U110" s="1207">
        <f t="shared" si="8"/>
        <v>0</v>
      </c>
      <c r="V110" s="1207">
        <f t="shared" si="8"/>
        <v>0</v>
      </c>
      <c r="W110" s="1207">
        <f t="shared" si="8"/>
        <v>0</v>
      </c>
      <c r="X110" s="1207">
        <f t="shared" si="8"/>
        <v>0</v>
      </c>
      <c r="Y110" s="1207">
        <f t="shared" si="8"/>
        <v>0</v>
      </c>
      <c r="Z110" s="1207">
        <f t="shared" si="8"/>
        <v>0</v>
      </c>
      <c r="AA110" s="1207">
        <f t="shared" si="8"/>
        <v>0</v>
      </c>
      <c r="AB110" s="1207">
        <f t="shared" si="8"/>
        <v>0</v>
      </c>
      <c r="AC110" s="1207">
        <f t="shared" si="8"/>
        <v>0</v>
      </c>
      <c r="AD110" s="1207">
        <f t="shared" si="8"/>
        <v>0</v>
      </c>
      <c r="AE110" s="1207">
        <f t="shared" si="8"/>
        <v>0</v>
      </c>
      <c r="AF110" s="1207">
        <f t="shared" si="8"/>
        <v>0</v>
      </c>
      <c r="AG110" s="1207">
        <f t="shared" si="8"/>
        <v>0</v>
      </c>
      <c r="AH110" s="1207">
        <f t="shared" si="8"/>
        <v>0</v>
      </c>
      <c r="AI110" s="1207">
        <f t="shared" si="8"/>
        <v>0</v>
      </c>
      <c r="AJ110" s="1208"/>
      <c r="AK110" s="1208">
        <f>SUBTOTAL(9,AK102:AK109)</f>
        <v>0</v>
      </c>
      <c r="AL110" s="1209">
        <f>SUBTOTAL(9,AL102:AL109)</f>
        <v>0</v>
      </c>
    </row>
    <row r="111" spans="1:38" x14ac:dyDescent="0.3">
      <c r="A111" s="98"/>
      <c r="B111" s="660"/>
      <c r="C111" s="660"/>
      <c r="D111" s="660"/>
      <c r="E111" s="941">
        <f>SUM(E110,E101,E90)</f>
        <v>0</v>
      </c>
      <c r="F111" s="941"/>
      <c r="G111" s="941">
        <f>SUM(G110,G101,G90)</f>
        <v>0</v>
      </c>
      <c r="H111" s="941"/>
      <c r="I111" s="941">
        <f>SUM(I110,I101,I90)</f>
        <v>0</v>
      </c>
      <c r="J111" s="941"/>
      <c r="K111" s="941">
        <v>9600</v>
      </c>
      <c r="L111" s="941"/>
      <c r="M111" s="941">
        <f>SUM(M110,M101,M90)</f>
        <v>0</v>
      </c>
      <c r="N111" s="941"/>
      <c r="O111" s="941">
        <f>SUM(O110,O101,O90)</f>
        <v>0</v>
      </c>
      <c r="P111" s="941"/>
      <c r="Q111" s="941">
        <f>SUM(Q110,Q101,Q90)</f>
        <v>0</v>
      </c>
      <c r="R111" s="941"/>
      <c r="S111" s="941">
        <f>SUM(S110,S101,S90)</f>
        <v>0</v>
      </c>
      <c r="T111" s="941"/>
      <c r="U111" s="941">
        <f>SUM(U110,U101,U90)</f>
        <v>0</v>
      </c>
      <c r="V111" s="941"/>
      <c r="W111" s="941">
        <f>SUM(W110,W101,W90)</f>
        <v>0</v>
      </c>
      <c r="X111" s="941"/>
      <c r="Y111" s="941">
        <f>SUM(Y110,Y101,Y90)</f>
        <v>0</v>
      </c>
      <c r="Z111" s="941"/>
      <c r="AA111" s="941">
        <f>SUM(AA110,AA101,AA90)</f>
        <v>0</v>
      </c>
      <c r="AB111" s="941"/>
      <c r="AC111" s="941">
        <f>SUM(AC110,AC101,AC90)</f>
        <v>0</v>
      </c>
      <c r="AD111" s="941"/>
      <c r="AE111" s="941">
        <f>SUM(AE110,AE101,AE90)</f>
        <v>0</v>
      </c>
      <c r="AF111" s="941"/>
      <c r="AG111" s="941">
        <f>SUM(AG110,AG101,AG90)</f>
        <v>0</v>
      </c>
      <c r="AH111" s="941"/>
      <c r="AI111" s="941">
        <f>SUM(AI110,AI101,AI90)</f>
        <v>0</v>
      </c>
      <c r="AJ111" s="941"/>
      <c r="AK111" s="941"/>
      <c r="AL111" s="941">
        <f>SUM(K111:AI111)-SUM(E111:I111)</f>
        <v>9600</v>
      </c>
    </row>
    <row r="112" spans="1:38" ht="15.6" x14ac:dyDescent="0.3">
      <c r="B112" s="76"/>
      <c r="C112" s="76"/>
      <c r="D112" s="79"/>
      <c r="E112" s="1112"/>
      <c r="F112" s="1112"/>
      <c r="G112" s="660"/>
      <c r="H112" s="1112"/>
      <c r="I112" s="660"/>
      <c r="J112" s="1112"/>
      <c r="K112" s="660"/>
      <c r="L112" s="1112"/>
      <c r="M112" s="660"/>
      <c r="N112" s="1112"/>
      <c r="O112" s="660"/>
      <c r="P112" s="1112"/>
      <c r="Q112" s="660"/>
      <c r="R112" s="1112"/>
      <c r="S112" s="660"/>
      <c r="T112" s="1112"/>
      <c r="U112" s="660"/>
      <c r="V112" s="1112"/>
      <c r="W112" s="660"/>
      <c r="X112" s="1112"/>
      <c r="Y112" s="660"/>
      <c r="Z112" s="1112"/>
      <c r="AA112" s="660"/>
      <c r="AB112" s="1112"/>
      <c r="AC112" s="660"/>
      <c r="AD112" s="1112"/>
      <c r="AE112" s="660"/>
      <c r="AF112" s="1112"/>
      <c r="AG112" s="660"/>
      <c r="AH112" s="1112"/>
      <c r="AI112" s="660"/>
      <c r="AJ112" s="660"/>
      <c r="AK112" s="1108"/>
      <c r="AL112" s="1106"/>
    </row>
    <row r="113" spans="1:38" ht="18" x14ac:dyDescent="0.3">
      <c r="A113" s="1110" t="s">
        <v>1467</v>
      </c>
      <c r="B113" s="1111"/>
      <c r="C113" s="1111"/>
      <c r="D113" s="1111"/>
      <c r="E113" s="1112"/>
      <c r="F113" s="1112"/>
      <c r="G113" s="660"/>
      <c r="H113" s="660"/>
      <c r="I113" s="660"/>
      <c r="J113" s="660"/>
      <c r="K113" s="660"/>
      <c r="L113" s="660"/>
      <c r="M113" s="660"/>
      <c r="N113" s="660"/>
      <c r="O113" s="660"/>
      <c r="P113" s="660"/>
      <c r="Q113" s="660"/>
      <c r="R113" s="660"/>
      <c r="S113" s="660"/>
      <c r="T113" s="660"/>
      <c r="U113" s="660"/>
      <c r="V113" s="660"/>
      <c r="W113" s="660"/>
      <c r="X113" s="660"/>
      <c r="Y113" s="660"/>
      <c r="Z113" s="660"/>
      <c r="AA113" s="660"/>
      <c r="AB113" s="660"/>
      <c r="AC113" s="660"/>
      <c r="AD113" s="660"/>
      <c r="AE113" s="660"/>
      <c r="AF113" s="660"/>
      <c r="AG113" s="660"/>
      <c r="AH113" s="660"/>
      <c r="AI113" s="660"/>
      <c r="AJ113" s="660"/>
      <c r="AK113" s="660"/>
    </row>
    <row r="114" spans="1:38" ht="15" thickBot="1" x14ac:dyDescent="0.35">
      <c r="A114" s="39"/>
      <c r="B114" s="1113"/>
      <c r="C114" s="1113"/>
      <c r="D114" s="1114" t="s">
        <v>1407</v>
      </c>
      <c r="E114" s="1115" t="s">
        <v>69</v>
      </c>
      <c r="F114" s="1116" t="s">
        <v>8</v>
      </c>
      <c r="G114" s="1115" t="s">
        <v>83</v>
      </c>
      <c r="H114" s="1116" t="s">
        <v>8</v>
      </c>
      <c r="I114" s="1115" t="s">
        <v>90</v>
      </c>
      <c r="J114" s="1116" t="s">
        <v>8</v>
      </c>
      <c r="K114" s="1117" t="s">
        <v>134</v>
      </c>
      <c r="L114" s="1118" t="s">
        <v>8</v>
      </c>
      <c r="M114" s="1117" t="s">
        <v>136</v>
      </c>
      <c r="N114" s="1118" t="s">
        <v>8</v>
      </c>
      <c r="O114" s="1117" t="s">
        <v>728</v>
      </c>
      <c r="P114" s="1118" t="s">
        <v>8</v>
      </c>
      <c r="Q114" s="1117" t="s">
        <v>266</v>
      </c>
      <c r="R114" s="1118" t="s">
        <v>8</v>
      </c>
      <c r="S114" s="1117" t="s">
        <v>292</v>
      </c>
      <c r="T114" s="1118" t="s">
        <v>8</v>
      </c>
      <c r="U114" s="1117" t="s">
        <v>335</v>
      </c>
      <c r="V114" s="1118" t="s">
        <v>8</v>
      </c>
      <c r="W114" s="1117" t="s">
        <v>346</v>
      </c>
      <c r="X114" s="1118" t="s">
        <v>8</v>
      </c>
      <c r="Y114" s="1117" t="s">
        <v>357</v>
      </c>
      <c r="Z114" s="1118" t="s">
        <v>8</v>
      </c>
      <c r="AA114" s="1117" t="s">
        <v>364</v>
      </c>
      <c r="AB114" s="1118" t="s">
        <v>8</v>
      </c>
      <c r="AC114" s="1117" t="s">
        <v>376</v>
      </c>
      <c r="AD114" s="1118" t="s">
        <v>8</v>
      </c>
      <c r="AE114" s="1117" t="s">
        <v>386</v>
      </c>
      <c r="AF114" s="1118" t="s">
        <v>8</v>
      </c>
      <c r="AG114" s="1117" t="s">
        <v>398</v>
      </c>
      <c r="AH114" s="1118" t="s">
        <v>8</v>
      </c>
      <c r="AI114" s="1117" t="s">
        <v>424</v>
      </c>
      <c r="AJ114" s="1119" t="s">
        <v>8</v>
      </c>
      <c r="AK114" s="1120" t="s">
        <v>1404</v>
      </c>
      <c r="AL114" s="1121" t="s">
        <v>1405</v>
      </c>
    </row>
    <row r="115" spans="1:38" s="39" customFormat="1" ht="21" customHeight="1" outlineLevel="1" x14ac:dyDescent="0.35">
      <c r="A115" s="1122" t="s">
        <v>1223</v>
      </c>
      <c r="B115" s="1123" t="s">
        <v>625</v>
      </c>
      <c r="C115" s="1124" t="s">
        <v>1408</v>
      </c>
      <c r="D115" s="1125" t="s">
        <v>1409</v>
      </c>
      <c r="E115" s="1126"/>
      <c r="F115" s="1127"/>
      <c r="G115" s="1127"/>
      <c r="H115" s="1127"/>
      <c r="I115" s="1127"/>
      <c r="J115" s="1127"/>
      <c r="K115" s="1127"/>
      <c r="L115" s="1127"/>
      <c r="M115" s="1127"/>
      <c r="N115" s="1127"/>
      <c r="O115" s="1127"/>
      <c r="P115" s="1127"/>
      <c r="Q115" s="1127"/>
      <c r="R115" s="1127"/>
      <c r="S115" s="1127"/>
      <c r="T115" s="1127"/>
      <c r="U115" s="1127"/>
      <c r="V115" s="1127"/>
      <c r="W115" s="1127"/>
      <c r="X115" s="1127"/>
      <c r="Y115" s="1127"/>
      <c r="Z115" s="1127"/>
      <c r="AA115" s="1127"/>
      <c r="AB115" s="1127"/>
      <c r="AC115" s="1127"/>
      <c r="AD115" s="1127"/>
      <c r="AE115" s="1127"/>
      <c r="AF115" s="1127"/>
      <c r="AG115" s="1127"/>
      <c r="AH115" s="1127"/>
      <c r="AI115" s="1127"/>
      <c r="AJ115" s="1128"/>
      <c r="AK115" s="1128"/>
      <c r="AL115" s="1129"/>
    </row>
    <row r="116" spans="1:38" hidden="1" outlineLevel="2" x14ac:dyDescent="0.3">
      <c r="A116" s="1130"/>
      <c r="B116" s="1131"/>
      <c r="C116" s="1132"/>
      <c r="D116" s="1133"/>
      <c r="E116" s="1134"/>
      <c r="F116" s="1135"/>
      <c r="G116" s="1135"/>
      <c r="H116" s="1135"/>
      <c r="I116" s="1135"/>
      <c r="J116" s="1135"/>
      <c r="K116" s="1135"/>
      <c r="L116" s="1135"/>
      <c r="M116" s="1135"/>
      <c r="N116" s="1135"/>
      <c r="O116" s="1135"/>
      <c r="P116" s="1135"/>
      <c r="Q116" s="1135"/>
      <c r="R116" s="1135"/>
      <c r="S116" s="1135"/>
      <c r="T116" s="1135"/>
      <c r="U116" s="1135"/>
      <c r="V116" s="1135"/>
      <c r="W116" s="1135"/>
      <c r="X116" s="1135"/>
      <c r="Y116" s="1135"/>
      <c r="Z116" s="1135"/>
      <c r="AA116" s="1135"/>
      <c r="AB116" s="1135"/>
      <c r="AC116" s="1135"/>
      <c r="AD116" s="1135"/>
      <c r="AE116" s="1135"/>
      <c r="AF116" s="1135"/>
      <c r="AG116" s="1135"/>
      <c r="AH116" s="1135"/>
      <c r="AI116" s="1135"/>
      <c r="AJ116" s="1136"/>
      <c r="AK116" s="1136"/>
      <c r="AL116" s="1137"/>
    </row>
    <row r="117" spans="1:38" ht="42" hidden="1" customHeight="1" outlineLevel="2" x14ac:dyDescent="0.3">
      <c r="A117" s="1130"/>
      <c r="B117" s="1131"/>
      <c r="C117" s="1132"/>
      <c r="D117" s="1133"/>
      <c r="E117" s="1134"/>
      <c r="F117" s="1135"/>
      <c r="G117" s="1135"/>
      <c r="H117" s="1135"/>
      <c r="I117" s="1135"/>
      <c r="J117" s="1135"/>
      <c r="K117" s="1135"/>
      <c r="L117" s="1135"/>
      <c r="M117" s="1135"/>
      <c r="N117" s="1135"/>
      <c r="O117" s="1135"/>
      <c r="P117" s="1135"/>
      <c r="Q117" s="1135"/>
      <c r="R117" s="1135"/>
      <c r="S117" s="1135"/>
      <c r="T117" s="1135"/>
      <c r="U117" s="1135"/>
      <c r="V117" s="1135"/>
      <c r="W117" s="1135"/>
      <c r="X117" s="1135"/>
      <c r="Y117" s="1135"/>
      <c r="Z117" s="1135"/>
      <c r="AA117" s="1135"/>
      <c r="AB117" s="1135"/>
      <c r="AC117" s="1135"/>
      <c r="AD117" s="1135">
        <v>0</v>
      </c>
      <c r="AE117" s="1135"/>
      <c r="AF117" s="1135"/>
      <c r="AG117" s="1135"/>
      <c r="AH117" s="1135"/>
      <c r="AI117" s="1135"/>
      <c r="AJ117" s="1136"/>
      <c r="AK117" s="1137">
        <f t="shared" ref="AK117:AL148" si="9">SUM(E117,G117,I117)-SUM(K117,M117,O117,Q117,S117,U117,W117,Y117,AA117,AC117,AE117,AG117,AI117)</f>
        <v>0</v>
      </c>
      <c r="AL117" s="1137">
        <f t="shared" si="9"/>
        <v>0</v>
      </c>
    </row>
    <row r="118" spans="1:38" hidden="1" outlineLevel="2" x14ac:dyDescent="0.3">
      <c r="A118" s="1130"/>
      <c r="B118" s="1131"/>
      <c r="C118" s="1132"/>
      <c r="D118" s="1133"/>
      <c r="E118" s="1134"/>
      <c r="F118" s="1135"/>
      <c r="G118" s="1135"/>
      <c r="H118" s="1135"/>
      <c r="I118" s="1135"/>
      <c r="J118" s="1135"/>
      <c r="K118" s="1135"/>
      <c r="L118" s="1135"/>
      <c r="M118" s="1135"/>
      <c r="N118" s="1135"/>
      <c r="O118" s="1135"/>
      <c r="P118" s="1135"/>
      <c r="Q118" s="1135"/>
      <c r="R118" s="1135"/>
      <c r="S118" s="1135"/>
      <c r="T118" s="1135"/>
      <c r="U118" s="1135"/>
      <c r="V118" s="1135"/>
      <c r="W118" s="1135"/>
      <c r="X118" s="1135"/>
      <c r="Y118" s="1135"/>
      <c r="Z118" s="1135"/>
      <c r="AA118" s="1135"/>
      <c r="AB118" s="1135"/>
      <c r="AC118" s="1135"/>
      <c r="AD118" s="1135">
        <v>0</v>
      </c>
      <c r="AE118" s="1135"/>
      <c r="AF118" s="1135"/>
      <c r="AG118" s="1135"/>
      <c r="AH118" s="1135"/>
      <c r="AI118" s="1135"/>
      <c r="AJ118" s="1136"/>
      <c r="AK118" s="1137">
        <f t="shared" si="9"/>
        <v>0</v>
      </c>
      <c r="AL118" s="1137">
        <f t="shared" si="9"/>
        <v>0</v>
      </c>
    </row>
    <row r="119" spans="1:38" hidden="1" outlineLevel="2" x14ac:dyDescent="0.3">
      <c r="A119" s="1130"/>
      <c r="B119" s="1138"/>
      <c r="C119" s="1139"/>
      <c r="D119" s="1140"/>
      <c r="E119" s="1134"/>
      <c r="F119" s="1141"/>
      <c r="G119" s="1141"/>
      <c r="H119" s="1141"/>
      <c r="I119" s="1141"/>
      <c r="J119" s="1141"/>
      <c r="K119" s="1135"/>
      <c r="L119" s="1141"/>
      <c r="M119" s="1141"/>
      <c r="N119" s="1141"/>
      <c r="O119" s="1141"/>
      <c r="P119" s="1141"/>
      <c r="Q119" s="1141"/>
      <c r="R119" s="1141"/>
      <c r="S119" s="1141"/>
      <c r="T119" s="1141"/>
      <c r="U119" s="1135"/>
      <c r="V119" s="1141"/>
      <c r="W119" s="1141"/>
      <c r="X119" s="1141"/>
      <c r="Y119" s="1141"/>
      <c r="Z119" s="1141"/>
      <c r="AA119" s="1141"/>
      <c r="AB119" s="1141"/>
      <c r="AC119" s="1141"/>
      <c r="AD119" s="1141"/>
      <c r="AE119" s="1135"/>
      <c r="AF119" s="1141"/>
      <c r="AG119" s="1135"/>
      <c r="AH119" s="1141"/>
      <c r="AI119" s="1141"/>
      <c r="AJ119" s="1142"/>
      <c r="AK119" s="1137">
        <f t="shared" si="9"/>
        <v>0</v>
      </c>
      <c r="AL119" s="1137">
        <f t="shared" si="9"/>
        <v>0</v>
      </c>
    </row>
    <row r="120" spans="1:38" hidden="1" outlineLevel="2" x14ac:dyDescent="0.3">
      <c r="A120" s="1130"/>
      <c r="B120" s="1138"/>
      <c r="C120" s="1139"/>
      <c r="D120" s="1140"/>
      <c r="E120" s="1134"/>
      <c r="F120" s="1141"/>
      <c r="G120" s="1141"/>
      <c r="H120" s="1141"/>
      <c r="I120" s="1141"/>
      <c r="J120" s="1141"/>
      <c r="K120" s="1135"/>
      <c r="L120" s="1141"/>
      <c r="M120" s="1141"/>
      <c r="N120" s="1141"/>
      <c r="O120" s="1141"/>
      <c r="P120" s="1141"/>
      <c r="Q120" s="1141"/>
      <c r="R120" s="1141"/>
      <c r="S120" s="1141"/>
      <c r="T120" s="1141"/>
      <c r="U120" s="1135"/>
      <c r="V120" s="1141"/>
      <c r="W120" s="1141"/>
      <c r="X120" s="1141"/>
      <c r="Y120" s="1141"/>
      <c r="Z120" s="1141"/>
      <c r="AA120" s="1141"/>
      <c r="AB120" s="1141"/>
      <c r="AC120" s="1141"/>
      <c r="AD120" s="1141"/>
      <c r="AE120" s="1135"/>
      <c r="AF120" s="1141"/>
      <c r="AG120" s="1135"/>
      <c r="AH120" s="1141"/>
      <c r="AI120" s="1141"/>
      <c r="AJ120" s="1142"/>
      <c r="AK120" s="1137">
        <f t="shared" si="9"/>
        <v>0</v>
      </c>
      <c r="AL120" s="1137">
        <f t="shared" si="9"/>
        <v>0</v>
      </c>
    </row>
    <row r="121" spans="1:38" hidden="1" outlineLevel="2" x14ac:dyDescent="0.3">
      <c r="A121" s="1130"/>
      <c r="B121" s="1138"/>
      <c r="C121" s="1139"/>
      <c r="D121" s="1140"/>
      <c r="E121" s="1134"/>
      <c r="F121" s="1141"/>
      <c r="G121" s="1141"/>
      <c r="H121" s="1141"/>
      <c r="I121" s="1141"/>
      <c r="J121" s="1141"/>
      <c r="K121" s="1135"/>
      <c r="L121" s="1141"/>
      <c r="M121" s="1141"/>
      <c r="N121" s="1141"/>
      <c r="O121" s="1141"/>
      <c r="P121" s="1141"/>
      <c r="Q121" s="1141"/>
      <c r="R121" s="1141"/>
      <c r="S121" s="1141"/>
      <c r="T121" s="1141"/>
      <c r="U121" s="1135"/>
      <c r="V121" s="1141"/>
      <c r="W121" s="1141"/>
      <c r="X121" s="1141"/>
      <c r="Y121" s="1141"/>
      <c r="Z121" s="1141"/>
      <c r="AA121" s="1141"/>
      <c r="AB121" s="1141"/>
      <c r="AC121" s="1141"/>
      <c r="AD121" s="1141"/>
      <c r="AE121" s="1135"/>
      <c r="AF121" s="1141"/>
      <c r="AG121" s="1135"/>
      <c r="AH121" s="1141"/>
      <c r="AI121" s="1141"/>
      <c r="AJ121" s="1142"/>
      <c r="AK121" s="1137">
        <f t="shared" si="9"/>
        <v>0</v>
      </c>
      <c r="AL121" s="1137">
        <f t="shared" si="9"/>
        <v>0</v>
      </c>
    </row>
    <row r="122" spans="1:38" hidden="1" outlineLevel="2" x14ac:dyDescent="0.3">
      <c r="A122" s="1130"/>
      <c r="B122" s="1138"/>
      <c r="C122" s="1139"/>
      <c r="D122" s="1140"/>
      <c r="E122" s="1134"/>
      <c r="F122" s="1141"/>
      <c r="G122" s="1141"/>
      <c r="H122" s="1141"/>
      <c r="I122" s="1141"/>
      <c r="J122" s="1141"/>
      <c r="K122" s="1135"/>
      <c r="L122" s="1141"/>
      <c r="M122" s="1141"/>
      <c r="N122" s="1141"/>
      <c r="O122" s="1141"/>
      <c r="P122" s="1141"/>
      <c r="Q122" s="1141"/>
      <c r="R122" s="1141"/>
      <c r="S122" s="1141"/>
      <c r="T122" s="1141"/>
      <c r="U122" s="1135"/>
      <c r="V122" s="1141"/>
      <c r="W122" s="1141"/>
      <c r="X122" s="1141"/>
      <c r="Y122" s="1141"/>
      <c r="Z122" s="1141"/>
      <c r="AA122" s="1141"/>
      <c r="AB122" s="1141"/>
      <c r="AC122" s="1141"/>
      <c r="AD122" s="1141"/>
      <c r="AE122" s="1135"/>
      <c r="AF122" s="1141"/>
      <c r="AG122" s="1135"/>
      <c r="AH122" s="1141"/>
      <c r="AI122" s="1141"/>
      <c r="AJ122" s="1142"/>
      <c r="AK122" s="1137">
        <f t="shared" si="9"/>
        <v>0</v>
      </c>
      <c r="AL122" s="1137">
        <f t="shared" si="9"/>
        <v>0</v>
      </c>
    </row>
    <row r="123" spans="1:38" hidden="1" outlineLevel="2" x14ac:dyDescent="0.3">
      <c r="A123" s="1130"/>
      <c r="B123" s="1138"/>
      <c r="C123" s="1139"/>
      <c r="D123" s="1140"/>
      <c r="E123" s="1134"/>
      <c r="F123" s="1141"/>
      <c r="G123" s="1141"/>
      <c r="H123" s="1141"/>
      <c r="I123" s="1141"/>
      <c r="J123" s="1141"/>
      <c r="K123" s="1135"/>
      <c r="L123" s="1141"/>
      <c r="M123" s="1141"/>
      <c r="N123" s="1141"/>
      <c r="O123" s="1141"/>
      <c r="P123" s="1141"/>
      <c r="Q123" s="1141"/>
      <c r="R123" s="1141"/>
      <c r="S123" s="1141"/>
      <c r="T123" s="1141"/>
      <c r="U123" s="1135"/>
      <c r="V123" s="1141"/>
      <c r="W123" s="1141"/>
      <c r="X123" s="1141"/>
      <c r="Y123" s="1141"/>
      <c r="Z123" s="1141"/>
      <c r="AA123" s="1141"/>
      <c r="AB123" s="1141"/>
      <c r="AC123" s="1141"/>
      <c r="AD123" s="1141"/>
      <c r="AE123" s="1135"/>
      <c r="AF123" s="1141"/>
      <c r="AG123" s="1135"/>
      <c r="AH123" s="1141"/>
      <c r="AI123" s="1141"/>
      <c r="AJ123" s="1142"/>
      <c r="AK123" s="1137">
        <f t="shared" si="9"/>
        <v>0</v>
      </c>
      <c r="AL123" s="1137">
        <f t="shared" si="9"/>
        <v>0</v>
      </c>
    </row>
    <row r="124" spans="1:38" hidden="1" outlineLevel="2" x14ac:dyDescent="0.3">
      <c r="A124" s="1130"/>
      <c r="B124" s="1138"/>
      <c r="C124" s="1139"/>
      <c r="D124" s="1140"/>
      <c r="E124" s="1134"/>
      <c r="F124" s="1141"/>
      <c r="G124" s="1141"/>
      <c r="H124" s="1141"/>
      <c r="I124" s="1141"/>
      <c r="J124" s="1141"/>
      <c r="K124" s="1135"/>
      <c r="L124" s="1141"/>
      <c r="M124" s="1141"/>
      <c r="N124" s="1141"/>
      <c r="O124" s="1141"/>
      <c r="P124" s="1141"/>
      <c r="Q124" s="1141"/>
      <c r="R124" s="1141"/>
      <c r="S124" s="1141"/>
      <c r="T124" s="1141"/>
      <c r="U124" s="1135"/>
      <c r="V124" s="1141"/>
      <c r="W124" s="1141"/>
      <c r="X124" s="1141"/>
      <c r="Y124" s="1141"/>
      <c r="Z124" s="1141"/>
      <c r="AA124" s="1141"/>
      <c r="AB124" s="1141"/>
      <c r="AC124" s="1141"/>
      <c r="AD124" s="1141"/>
      <c r="AE124" s="1135"/>
      <c r="AF124" s="1141"/>
      <c r="AG124" s="1135"/>
      <c r="AH124" s="1141"/>
      <c r="AI124" s="1141"/>
      <c r="AJ124" s="1142"/>
      <c r="AK124" s="1137">
        <f t="shared" si="9"/>
        <v>0</v>
      </c>
      <c r="AL124" s="1137">
        <f t="shared" si="9"/>
        <v>0</v>
      </c>
    </row>
    <row r="125" spans="1:38" hidden="1" outlineLevel="2" x14ac:dyDescent="0.3">
      <c r="A125" s="1130"/>
      <c r="B125" s="1138"/>
      <c r="C125" s="1139"/>
      <c r="D125" s="1140"/>
      <c r="E125" s="1134"/>
      <c r="F125" s="1141"/>
      <c r="G125" s="1141"/>
      <c r="H125" s="1141"/>
      <c r="I125" s="1141"/>
      <c r="J125" s="1141"/>
      <c r="K125" s="1135"/>
      <c r="L125" s="1141"/>
      <c r="M125" s="1141"/>
      <c r="N125" s="1141"/>
      <c r="O125" s="1141"/>
      <c r="P125" s="1141"/>
      <c r="Q125" s="1141"/>
      <c r="R125" s="1141"/>
      <c r="S125" s="1141"/>
      <c r="T125" s="1141"/>
      <c r="U125" s="1135"/>
      <c r="V125" s="1141"/>
      <c r="W125" s="1141"/>
      <c r="X125" s="1141"/>
      <c r="Y125" s="1141"/>
      <c r="Z125" s="1141"/>
      <c r="AA125" s="1141"/>
      <c r="AB125" s="1141"/>
      <c r="AC125" s="1141"/>
      <c r="AD125" s="1141"/>
      <c r="AE125" s="1135"/>
      <c r="AF125" s="1141"/>
      <c r="AG125" s="1135"/>
      <c r="AH125" s="1141"/>
      <c r="AI125" s="1141"/>
      <c r="AJ125" s="1142"/>
      <c r="AK125" s="1137">
        <f t="shared" si="9"/>
        <v>0</v>
      </c>
      <c r="AL125" s="1137">
        <f t="shared" si="9"/>
        <v>0</v>
      </c>
    </row>
    <row r="126" spans="1:38" hidden="1" outlineLevel="2" x14ac:dyDescent="0.3">
      <c r="A126" s="1130"/>
      <c r="B126" s="1138"/>
      <c r="C126" s="1139"/>
      <c r="D126" s="1140"/>
      <c r="E126" s="1134"/>
      <c r="F126" s="1141"/>
      <c r="G126" s="1141"/>
      <c r="H126" s="1141"/>
      <c r="I126" s="1141"/>
      <c r="J126" s="1141"/>
      <c r="K126" s="1135"/>
      <c r="L126" s="1141"/>
      <c r="M126" s="1141"/>
      <c r="N126" s="1141"/>
      <c r="O126" s="1141"/>
      <c r="P126" s="1141"/>
      <c r="Q126" s="1141"/>
      <c r="R126" s="1141"/>
      <c r="S126" s="1141"/>
      <c r="T126" s="1141"/>
      <c r="U126" s="1135"/>
      <c r="V126" s="1141"/>
      <c r="W126" s="1141"/>
      <c r="X126" s="1141"/>
      <c r="Y126" s="1141"/>
      <c r="Z126" s="1141"/>
      <c r="AA126" s="1141"/>
      <c r="AB126" s="1141"/>
      <c r="AC126" s="1141"/>
      <c r="AD126" s="1141"/>
      <c r="AE126" s="1135"/>
      <c r="AF126" s="1141"/>
      <c r="AG126" s="1135"/>
      <c r="AH126" s="1141"/>
      <c r="AI126" s="1141"/>
      <c r="AJ126" s="1142"/>
      <c r="AK126" s="1137">
        <f t="shared" si="9"/>
        <v>0</v>
      </c>
      <c r="AL126" s="1137">
        <f t="shared" si="9"/>
        <v>0</v>
      </c>
    </row>
    <row r="127" spans="1:38" hidden="1" outlineLevel="2" x14ac:dyDescent="0.3">
      <c r="A127" s="1130"/>
      <c r="B127" s="1138"/>
      <c r="C127" s="1139"/>
      <c r="D127" s="1140"/>
      <c r="E127" s="1134"/>
      <c r="F127" s="1141"/>
      <c r="G127" s="1141"/>
      <c r="H127" s="1141"/>
      <c r="I127" s="1141"/>
      <c r="J127" s="1141"/>
      <c r="K127" s="1135"/>
      <c r="L127" s="1141"/>
      <c r="M127" s="1141"/>
      <c r="N127" s="1141"/>
      <c r="O127" s="1141"/>
      <c r="P127" s="1141"/>
      <c r="Q127" s="1141"/>
      <c r="R127" s="1141"/>
      <c r="S127" s="1141"/>
      <c r="T127" s="1141"/>
      <c r="U127" s="1135"/>
      <c r="V127" s="1141"/>
      <c r="W127" s="1141"/>
      <c r="X127" s="1141"/>
      <c r="Y127" s="1141"/>
      <c r="Z127" s="1141"/>
      <c r="AA127" s="1141"/>
      <c r="AB127" s="1141"/>
      <c r="AC127" s="1141"/>
      <c r="AD127" s="1141"/>
      <c r="AE127" s="1135"/>
      <c r="AF127" s="1141"/>
      <c r="AG127" s="1135"/>
      <c r="AH127" s="1141"/>
      <c r="AI127" s="1141"/>
      <c r="AJ127" s="1142"/>
      <c r="AK127" s="1137">
        <f t="shared" si="9"/>
        <v>0</v>
      </c>
      <c r="AL127" s="1137">
        <f t="shared" si="9"/>
        <v>0</v>
      </c>
    </row>
    <row r="128" spans="1:38" hidden="1" outlineLevel="2" x14ac:dyDescent="0.3">
      <c r="A128" s="1130"/>
      <c r="B128" s="1138"/>
      <c r="C128" s="1139"/>
      <c r="D128" s="1140"/>
      <c r="E128" s="1134"/>
      <c r="F128" s="1141"/>
      <c r="G128" s="1141"/>
      <c r="H128" s="1141"/>
      <c r="I128" s="1141"/>
      <c r="J128" s="1141"/>
      <c r="K128" s="1135"/>
      <c r="L128" s="1141"/>
      <c r="M128" s="1141"/>
      <c r="N128" s="1141"/>
      <c r="O128" s="1141"/>
      <c r="P128" s="1141"/>
      <c r="Q128" s="1141"/>
      <c r="R128" s="1141"/>
      <c r="S128" s="1141"/>
      <c r="T128" s="1141"/>
      <c r="U128" s="1135"/>
      <c r="V128" s="1141"/>
      <c r="W128" s="1141"/>
      <c r="X128" s="1141"/>
      <c r="Y128" s="1141"/>
      <c r="Z128" s="1141"/>
      <c r="AA128" s="1141"/>
      <c r="AB128" s="1141"/>
      <c r="AC128" s="1141"/>
      <c r="AD128" s="1141"/>
      <c r="AE128" s="1135"/>
      <c r="AF128" s="1141"/>
      <c r="AG128" s="1135"/>
      <c r="AH128" s="1141"/>
      <c r="AI128" s="1141"/>
      <c r="AJ128" s="1142"/>
      <c r="AK128" s="1137">
        <f t="shared" si="9"/>
        <v>0</v>
      </c>
      <c r="AL128" s="1137">
        <f t="shared" si="9"/>
        <v>0</v>
      </c>
    </row>
    <row r="129" spans="1:38" hidden="1" outlineLevel="2" x14ac:dyDescent="0.3">
      <c r="A129" s="1130"/>
      <c r="B129" s="1138"/>
      <c r="C129" s="1139"/>
      <c r="D129" s="1140"/>
      <c r="E129" s="1134"/>
      <c r="F129" s="1141"/>
      <c r="G129" s="1141"/>
      <c r="H129" s="1141"/>
      <c r="I129" s="1141"/>
      <c r="J129" s="1141"/>
      <c r="K129" s="1135"/>
      <c r="L129" s="1141"/>
      <c r="M129" s="1141"/>
      <c r="N129" s="1141"/>
      <c r="O129" s="1141"/>
      <c r="P129" s="1141"/>
      <c r="Q129" s="1141"/>
      <c r="R129" s="1141"/>
      <c r="S129" s="1141"/>
      <c r="T129" s="1141"/>
      <c r="U129" s="1135"/>
      <c r="V129" s="1141"/>
      <c r="W129" s="1141"/>
      <c r="X129" s="1141"/>
      <c r="Y129" s="1141"/>
      <c r="Z129" s="1141"/>
      <c r="AA129" s="1141"/>
      <c r="AB129" s="1141"/>
      <c r="AC129" s="1141"/>
      <c r="AD129" s="1141"/>
      <c r="AE129" s="1135"/>
      <c r="AF129" s="1141"/>
      <c r="AG129" s="1135"/>
      <c r="AH129" s="1141"/>
      <c r="AI129" s="1141"/>
      <c r="AJ129" s="1142"/>
      <c r="AK129" s="1137">
        <f t="shared" si="9"/>
        <v>0</v>
      </c>
      <c r="AL129" s="1137">
        <f t="shared" si="9"/>
        <v>0</v>
      </c>
    </row>
    <row r="130" spans="1:38" hidden="1" outlineLevel="2" x14ac:dyDescent="0.3">
      <c r="A130" s="1130"/>
      <c r="B130" s="1138"/>
      <c r="C130" s="1139"/>
      <c r="D130" s="1140"/>
      <c r="E130" s="1134"/>
      <c r="F130" s="1141"/>
      <c r="G130" s="1141"/>
      <c r="H130" s="1141"/>
      <c r="I130" s="1141"/>
      <c r="J130" s="1141"/>
      <c r="K130" s="1135"/>
      <c r="L130" s="1141"/>
      <c r="M130" s="1141"/>
      <c r="N130" s="1141"/>
      <c r="O130" s="1141"/>
      <c r="P130" s="1141"/>
      <c r="Q130" s="1141"/>
      <c r="R130" s="1141"/>
      <c r="S130" s="1141"/>
      <c r="T130" s="1141"/>
      <c r="U130" s="1135"/>
      <c r="V130" s="1141"/>
      <c r="W130" s="1141"/>
      <c r="X130" s="1141"/>
      <c r="Y130" s="1141"/>
      <c r="Z130" s="1141"/>
      <c r="AA130" s="1141"/>
      <c r="AB130" s="1141"/>
      <c r="AC130" s="1141"/>
      <c r="AD130" s="1141"/>
      <c r="AE130" s="1135"/>
      <c r="AF130" s="1141"/>
      <c r="AG130" s="1135"/>
      <c r="AH130" s="1141"/>
      <c r="AI130" s="1141"/>
      <c r="AJ130" s="1142"/>
      <c r="AK130" s="1137">
        <f t="shared" si="9"/>
        <v>0</v>
      </c>
      <c r="AL130" s="1137">
        <f t="shared" si="9"/>
        <v>0</v>
      </c>
    </row>
    <row r="131" spans="1:38" hidden="1" outlineLevel="2" x14ac:dyDescent="0.3">
      <c r="A131" s="1130"/>
      <c r="B131" s="1138"/>
      <c r="C131" s="1139"/>
      <c r="D131" s="1140"/>
      <c r="E131" s="1134"/>
      <c r="F131" s="1141"/>
      <c r="G131" s="1141"/>
      <c r="H131" s="1141"/>
      <c r="I131" s="1141"/>
      <c r="J131" s="1141"/>
      <c r="K131" s="1135"/>
      <c r="L131" s="1141"/>
      <c r="M131" s="1141"/>
      <c r="N131" s="1141"/>
      <c r="O131" s="1141"/>
      <c r="P131" s="1141"/>
      <c r="Q131" s="1141"/>
      <c r="R131" s="1141"/>
      <c r="S131" s="1141"/>
      <c r="T131" s="1141"/>
      <c r="U131" s="1135"/>
      <c r="V131" s="1141"/>
      <c r="W131" s="1141"/>
      <c r="X131" s="1141"/>
      <c r="Y131" s="1141"/>
      <c r="Z131" s="1141"/>
      <c r="AA131" s="1141"/>
      <c r="AB131" s="1141"/>
      <c r="AC131" s="1141"/>
      <c r="AD131" s="1141"/>
      <c r="AE131" s="1135"/>
      <c r="AF131" s="1141"/>
      <c r="AG131" s="1135"/>
      <c r="AH131" s="1141"/>
      <c r="AI131" s="1141"/>
      <c r="AJ131" s="1142"/>
      <c r="AK131" s="1137">
        <f t="shared" si="9"/>
        <v>0</v>
      </c>
      <c r="AL131" s="1137">
        <f t="shared" si="9"/>
        <v>0</v>
      </c>
    </row>
    <row r="132" spans="1:38" hidden="1" outlineLevel="2" x14ac:dyDescent="0.3">
      <c r="A132" s="1130"/>
      <c r="B132" s="1138"/>
      <c r="C132" s="1139"/>
      <c r="D132" s="1140"/>
      <c r="E132" s="1134"/>
      <c r="F132" s="1141"/>
      <c r="G132" s="1141"/>
      <c r="H132" s="1141"/>
      <c r="I132" s="1141"/>
      <c r="J132" s="1141"/>
      <c r="K132" s="1135"/>
      <c r="L132" s="1141"/>
      <c r="M132" s="1141"/>
      <c r="N132" s="1141"/>
      <c r="O132" s="1141"/>
      <c r="P132" s="1141"/>
      <c r="Q132" s="1141"/>
      <c r="R132" s="1141"/>
      <c r="S132" s="1141"/>
      <c r="T132" s="1141"/>
      <c r="U132" s="1135"/>
      <c r="V132" s="1141"/>
      <c r="W132" s="1141"/>
      <c r="X132" s="1141"/>
      <c r="Y132" s="1141"/>
      <c r="Z132" s="1141"/>
      <c r="AA132" s="1141"/>
      <c r="AB132" s="1141"/>
      <c r="AC132" s="1141"/>
      <c r="AD132" s="1141"/>
      <c r="AE132" s="1135"/>
      <c r="AF132" s="1141"/>
      <c r="AG132" s="1135"/>
      <c r="AH132" s="1141"/>
      <c r="AI132" s="1141"/>
      <c r="AJ132" s="1142"/>
      <c r="AK132" s="1137">
        <f t="shared" si="9"/>
        <v>0</v>
      </c>
      <c r="AL132" s="1137">
        <f t="shared" si="9"/>
        <v>0</v>
      </c>
    </row>
    <row r="133" spans="1:38" hidden="1" outlineLevel="2" x14ac:dyDescent="0.3">
      <c r="A133" s="1130"/>
      <c r="B133" s="1138"/>
      <c r="C133" s="1139"/>
      <c r="D133" s="1140"/>
      <c r="E133" s="1134"/>
      <c r="F133" s="1141"/>
      <c r="G133" s="1141"/>
      <c r="H133" s="1141"/>
      <c r="I133" s="1141"/>
      <c r="J133" s="1141"/>
      <c r="K133" s="1135"/>
      <c r="L133" s="1141"/>
      <c r="M133" s="1141"/>
      <c r="N133" s="1141"/>
      <c r="O133" s="1141"/>
      <c r="P133" s="1141"/>
      <c r="Q133" s="1141"/>
      <c r="R133" s="1141"/>
      <c r="S133" s="1141"/>
      <c r="T133" s="1141"/>
      <c r="U133" s="1135"/>
      <c r="V133" s="1141"/>
      <c r="W133" s="1141"/>
      <c r="X133" s="1141"/>
      <c r="Y133" s="1141"/>
      <c r="Z133" s="1141"/>
      <c r="AA133" s="1141"/>
      <c r="AB133" s="1141"/>
      <c r="AC133" s="1141"/>
      <c r="AD133" s="1141"/>
      <c r="AE133" s="1135"/>
      <c r="AF133" s="1141"/>
      <c r="AG133" s="1135"/>
      <c r="AH133" s="1141"/>
      <c r="AI133" s="1141"/>
      <c r="AJ133" s="1142"/>
      <c r="AK133" s="1137">
        <f t="shared" si="9"/>
        <v>0</v>
      </c>
      <c r="AL133" s="1137">
        <f t="shared" si="9"/>
        <v>0</v>
      </c>
    </row>
    <row r="134" spans="1:38" hidden="1" outlineLevel="2" x14ac:dyDescent="0.3">
      <c r="A134" s="1130"/>
      <c r="B134" s="1138"/>
      <c r="C134" s="1139"/>
      <c r="D134" s="1140"/>
      <c r="E134" s="1134"/>
      <c r="F134" s="1141"/>
      <c r="G134" s="1141"/>
      <c r="H134" s="1141"/>
      <c r="I134" s="1141"/>
      <c r="J134" s="1141"/>
      <c r="K134" s="1135"/>
      <c r="L134" s="1141"/>
      <c r="M134" s="1141"/>
      <c r="N134" s="1141"/>
      <c r="O134" s="1141"/>
      <c r="P134" s="1141"/>
      <c r="Q134" s="1141"/>
      <c r="R134" s="1141"/>
      <c r="S134" s="1141"/>
      <c r="T134" s="1141"/>
      <c r="U134" s="1135"/>
      <c r="V134" s="1141"/>
      <c r="W134" s="1141"/>
      <c r="X134" s="1141"/>
      <c r="Y134" s="1141"/>
      <c r="Z134" s="1141"/>
      <c r="AA134" s="1141"/>
      <c r="AB134" s="1141"/>
      <c r="AC134" s="1141"/>
      <c r="AD134" s="1141"/>
      <c r="AE134" s="1135"/>
      <c r="AF134" s="1141"/>
      <c r="AG134" s="1135"/>
      <c r="AH134" s="1141"/>
      <c r="AI134" s="1141"/>
      <c r="AJ134" s="1142"/>
      <c r="AK134" s="1137">
        <f t="shared" si="9"/>
        <v>0</v>
      </c>
      <c r="AL134" s="1137">
        <f t="shared" si="9"/>
        <v>0</v>
      </c>
    </row>
    <row r="135" spans="1:38" hidden="1" outlineLevel="2" x14ac:dyDescent="0.3">
      <c r="A135" s="1130"/>
      <c r="B135" s="1138"/>
      <c r="C135" s="1139"/>
      <c r="D135" s="1140"/>
      <c r="E135" s="1134"/>
      <c r="F135" s="1141"/>
      <c r="G135" s="1141"/>
      <c r="H135" s="1141"/>
      <c r="I135" s="1141"/>
      <c r="J135" s="1141"/>
      <c r="K135" s="1135"/>
      <c r="L135" s="1141"/>
      <c r="M135" s="1141"/>
      <c r="N135" s="1141"/>
      <c r="O135" s="1141"/>
      <c r="P135" s="1141"/>
      <c r="Q135" s="1141"/>
      <c r="R135" s="1141"/>
      <c r="S135" s="1141"/>
      <c r="T135" s="1141"/>
      <c r="U135" s="1135"/>
      <c r="V135" s="1141"/>
      <c r="W135" s="1141"/>
      <c r="X135" s="1141"/>
      <c r="Y135" s="1141"/>
      <c r="Z135" s="1141"/>
      <c r="AA135" s="1141"/>
      <c r="AB135" s="1141"/>
      <c r="AC135" s="1141"/>
      <c r="AD135" s="1141"/>
      <c r="AE135" s="1135"/>
      <c r="AF135" s="1141"/>
      <c r="AG135" s="1135"/>
      <c r="AH135" s="1141"/>
      <c r="AI135" s="1141"/>
      <c r="AJ135" s="1142"/>
      <c r="AK135" s="1137">
        <f t="shared" si="9"/>
        <v>0</v>
      </c>
      <c r="AL135" s="1137">
        <f t="shared" si="9"/>
        <v>0</v>
      </c>
    </row>
    <row r="136" spans="1:38" hidden="1" outlineLevel="2" x14ac:dyDescent="0.3">
      <c r="A136" s="1130"/>
      <c r="B136" s="1138"/>
      <c r="C136" s="1139"/>
      <c r="D136" s="1140"/>
      <c r="E136" s="1134"/>
      <c r="F136" s="1141"/>
      <c r="G136" s="1141"/>
      <c r="H136" s="1141"/>
      <c r="I136" s="1141"/>
      <c r="J136" s="1141"/>
      <c r="K136" s="1135"/>
      <c r="L136" s="1141"/>
      <c r="M136" s="1141"/>
      <c r="N136" s="1141"/>
      <c r="O136" s="1141"/>
      <c r="P136" s="1141"/>
      <c r="Q136" s="1141"/>
      <c r="R136" s="1141"/>
      <c r="S136" s="1141"/>
      <c r="T136" s="1141"/>
      <c r="U136" s="1135"/>
      <c r="V136" s="1141"/>
      <c r="W136" s="1141"/>
      <c r="X136" s="1141"/>
      <c r="Y136" s="1141"/>
      <c r="Z136" s="1141"/>
      <c r="AA136" s="1141"/>
      <c r="AB136" s="1141"/>
      <c r="AC136" s="1141"/>
      <c r="AD136" s="1141"/>
      <c r="AE136" s="1135"/>
      <c r="AF136" s="1141"/>
      <c r="AG136" s="1135"/>
      <c r="AH136" s="1141"/>
      <c r="AI136" s="1141"/>
      <c r="AJ136" s="1142"/>
      <c r="AK136" s="1137">
        <f t="shared" si="9"/>
        <v>0</v>
      </c>
      <c r="AL136" s="1137">
        <f t="shared" si="9"/>
        <v>0</v>
      </c>
    </row>
    <row r="137" spans="1:38" hidden="1" outlineLevel="2" x14ac:dyDescent="0.3">
      <c r="A137" s="1130"/>
      <c r="B137" s="1138"/>
      <c r="C137" s="1139"/>
      <c r="D137" s="1140"/>
      <c r="E137" s="1134"/>
      <c r="F137" s="1141"/>
      <c r="G137" s="1141"/>
      <c r="H137" s="1141"/>
      <c r="I137" s="1141"/>
      <c r="J137" s="1141"/>
      <c r="K137" s="1135"/>
      <c r="L137" s="1141"/>
      <c r="M137" s="1141"/>
      <c r="N137" s="1141"/>
      <c r="O137" s="1141"/>
      <c r="P137" s="1141"/>
      <c r="Q137" s="1141"/>
      <c r="R137" s="1141"/>
      <c r="S137" s="1141"/>
      <c r="T137" s="1141"/>
      <c r="U137" s="1135"/>
      <c r="V137" s="1141"/>
      <c r="W137" s="1141"/>
      <c r="X137" s="1141"/>
      <c r="Y137" s="1141"/>
      <c r="Z137" s="1141"/>
      <c r="AA137" s="1141"/>
      <c r="AB137" s="1141"/>
      <c r="AC137" s="1141"/>
      <c r="AD137" s="1141"/>
      <c r="AE137" s="1135"/>
      <c r="AF137" s="1141"/>
      <c r="AG137" s="1135"/>
      <c r="AH137" s="1141"/>
      <c r="AI137" s="1141"/>
      <c r="AJ137" s="1142"/>
      <c r="AK137" s="1137">
        <f t="shared" si="9"/>
        <v>0</v>
      </c>
      <c r="AL137" s="1137">
        <f t="shared" si="9"/>
        <v>0</v>
      </c>
    </row>
    <row r="138" spans="1:38" hidden="1" outlineLevel="2" x14ac:dyDescent="0.3">
      <c r="A138" s="1130"/>
      <c r="B138" s="1138"/>
      <c r="C138" s="1139"/>
      <c r="D138" s="1140"/>
      <c r="E138" s="1134"/>
      <c r="F138" s="1141"/>
      <c r="G138" s="1141"/>
      <c r="H138" s="1141"/>
      <c r="I138" s="1141"/>
      <c r="J138" s="1141"/>
      <c r="K138" s="1135"/>
      <c r="L138" s="1141"/>
      <c r="M138" s="1141"/>
      <c r="N138" s="1141"/>
      <c r="O138" s="1141"/>
      <c r="P138" s="1141"/>
      <c r="Q138" s="1141"/>
      <c r="R138" s="1141"/>
      <c r="S138" s="1141"/>
      <c r="T138" s="1141"/>
      <c r="U138" s="1135"/>
      <c r="V138" s="1141"/>
      <c r="W138" s="1141"/>
      <c r="X138" s="1141"/>
      <c r="Y138" s="1141"/>
      <c r="Z138" s="1141"/>
      <c r="AA138" s="1141"/>
      <c r="AB138" s="1141"/>
      <c r="AC138" s="1141"/>
      <c r="AD138" s="1141"/>
      <c r="AE138" s="1135"/>
      <c r="AF138" s="1141"/>
      <c r="AG138" s="1135"/>
      <c r="AH138" s="1141"/>
      <c r="AI138" s="1141"/>
      <c r="AJ138" s="1142"/>
      <c r="AK138" s="1137">
        <f t="shared" si="9"/>
        <v>0</v>
      </c>
      <c r="AL138" s="1137">
        <f t="shared" si="9"/>
        <v>0</v>
      </c>
    </row>
    <row r="139" spans="1:38" hidden="1" outlineLevel="2" x14ac:dyDescent="0.3">
      <c r="A139" s="1130"/>
      <c r="B139" s="1138"/>
      <c r="C139" s="1139"/>
      <c r="D139" s="1140"/>
      <c r="E139" s="1134"/>
      <c r="F139" s="1141"/>
      <c r="G139" s="1141"/>
      <c r="H139" s="1141"/>
      <c r="I139" s="1141"/>
      <c r="J139" s="1141"/>
      <c r="K139" s="1135"/>
      <c r="L139" s="1141"/>
      <c r="M139" s="1141"/>
      <c r="N139" s="1141"/>
      <c r="O139" s="1141"/>
      <c r="P139" s="1141"/>
      <c r="Q139" s="1141"/>
      <c r="R139" s="1141"/>
      <c r="S139" s="1141"/>
      <c r="T139" s="1141"/>
      <c r="U139" s="1135"/>
      <c r="V139" s="1141"/>
      <c r="W139" s="1141"/>
      <c r="X139" s="1141"/>
      <c r="Y139" s="1141"/>
      <c r="Z139" s="1141"/>
      <c r="AA139" s="1141"/>
      <c r="AB139" s="1141"/>
      <c r="AC139" s="1141"/>
      <c r="AD139" s="1141"/>
      <c r="AE139" s="1135"/>
      <c r="AF139" s="1141"/>
      <c r="AG139" s="1135"/>
      <c r="AH139" s="1141"/>
      <c r="AI139" s="1141"/>
      <c r="AJ139" s="1142"/>
      <c r="AK139" s="1137">
        <f t="shared" si="9"/>
        <v>0</v>
      </c>
      <c r="AL139" s="1137">
        <f t="shared" si="9"/>
        <v>0</v>
      </c>
    </row>
    <row r="140" spans="1:38" hidden="1" outlineLevel="2" x14ac:dyDescent="0.3">
      <c r="A140" s="1130"/>
      <c r="B140" s="1138"/>
      <c r="C140" s="1139"/>
      <c r="D140" s="1140"/>
      <c r="E140" s="1134"/>
      <c r="F140" s="1141"/>
      <c r="G140" s="1141"/>
      <c r="H140" s="1141"/>
      <c r="I140" s="1141"/>
      <c r="J140" s="1141"/>
      <c r="K140" s="1135"/>
      <c r="L140" s="1141"/>
      <c r="M140" s="1141"/>
      <c r="N140" s="1141"/>
      <c r="O140" s="1141"/>
      <c r="P140" s="1141"/>
      <c r="Q140" s="1141"/>
      <c r="R140" s="1141"/>
      <c r="S140" s="1141"/>
      <c r="T140" s="1141"/>
      <c r="U140" s="1135"/>
      <c r="V140" s="1141"/>
      <c r="W140" s="1141"/>
      <c r="X140" s="1141"/>
      <c r="Y140" s="1141"/>
      <c r="Z140" s="1141"/>
      <c r="AA140" s="1141"/>
      <c r="AB140" s="1141"/>
      <c r="AC140" s="1141"/>
      <c r="AD140" s="1141"/>
      <c r="AE140" s="1135"/>
      <c r="AF140" s="1141"/>
      <c r="AG140" s="1135"/>
      <c r="AH140" s="1141"/>
      <c r="AI140" s="1141"/>
      <c r="AJ140" s="1142"/>
      <c r="AK140" s="1137">
        <f t="shared" si="9"/>
        <v>0</v>
      </c>
      <c r="AL140" s="1137">
        <f t="shared" si="9"/>
        <v>0</v>
      </c>
    </row>
    <row r="141" spans="1:38" hidden="1" outlineLevel="2" x14ac:dyDescent="0.3">
      <c r="A141" s="1130"/>
      <c r="B141" s="1138"/>
      <c r="C141" s="1139"/>
      <c r="D141" s="1140"/>
      <c r="E141" s="1134"/>
      <c r="F141" s="1141"/>
      <c r="G141" s="1141"/>
      <c r="H141" s="1141"/>
      <c r="I141" s="1141"/>
      <c r="J141" s="1141"/>
      <c r="K141" s="1135"/>
      <c r="L141" s="1141"/>
      <c r="M141" s="1141"/>
      <c r="N141" s="1141"/>
      <c r="O141" s="1141"/>
      <c r="P141" s="1141"/>
      <c r="Q141" s="1141"/>
      <c r="R141" s="1141"/>
      <c r="S141" s="1141"/>
      <c r="T141" s="1141"/>
      <c r="U141" s="1135"/>
      <c r="V141" s="1141"/>
      <c r="W141" s="1141"/>
      <c r="X141" s="1141"/>
      <c r="Y141" s="1141"/>
      <c r="Z141" s="1141"/>
      <c r="AA141" s="1141"/>
      <c r="AB141" s="1141"/>
      <c r="AC141" s="1141"/>
      <c r="AD141" s="1141"/>
      <c r="AE141" s="1135"/>
      <c r="AF141" s="1141"/>
      <c r="AG141" s="1135"/>
      <c r="AH141" s="1141"/>
      <c r="AI141" s="1141"/>
      <c r="AJ141" s="1142"/>
      <c r="AK141" s="1137">
        <f t="shared" si="9"/>
        <v>0</v>
      </c>
      <c r="AL141" s="1137">
        <f t="shared" si="9"/>
        <v>0</v>
      </c>
    </row>
    <row r="142" spans="1:38" hidden="1" outlineLevel="2" x14ac:dyDescent="0.3">
      <c r="A142" s="1130"/>
      <c r="B142" s="1138"/>
      <c r="C142" s="1139"/>
      <c r="D142" s="1140"/>
      <c r="E142" s="1134"/>
      <c r="F142" s="1141"/>
      <c r="G142" s="1141"/>
      <c r="H142" s="1141"/>
      <c r="I142" s="1141"/>
      <c r="J142" s="1141"/>
      <c r="K142" s="1135"/>
      <c r="L142" s="1141"/>
      <c r="M142" s="1141"/>
      <c r="N142" s="1141"/>
      <c r="O142" s="1141"/>
      <c r="P142" s="1141"/>
      <c r="Q142" s="1141"/>
      <c r="R142" s="1141"/>
      <c r="S142" s="1141"/>
      <c r="T142" s="1141"/>
      <c r="U142" s="1135"/>
      <c r="V142" s="1141"/>
      <c r="W142" s="1141"/>
      <c r="X142" s="1141"/>
      <c r="Y142" s="1141"/>
      <c r="Z142" s="1141"/>
      <c r="AA142" s="1141"/>
      <c r="AB142" s="1141"/>
      <c r="AC142" s="1141"/>
      <c r="AD142" s="1141"/>
      <c r="AE142" s="1135"/>
      <c r="AF142" s="1141"/>
      <c r="AG142" s="1135"/>
      <c r="AH142" s="1141"/>
      <c r="AI142" s="1141"/>
      <c r="AJ142" s="1142"/>
      <c r="AK142" s="1137">
        <f t="shared" si="9"/>
        <v>0</v>
      </c>
      <c r="AL142" s="1137">
        <f t="shared" si="9"/>
        <v>0</v>
      </c>
    </row>
    <row r="143" spans="1:38" hidden="1" outlineLevel="2" x14ac:dyDescent="0.3">
      <c r="A143" s="1130"/>
      <c r="B143" s="1138"/>
      <c r="C143" s="1139"/>
      <c r="D143" s="1140"/>
      <c r="E143" s="1134"/>
      <c r="F143" s="1141"/>
      <c r="G143" s="1141"/>
      <c r="H143" s="1141"/>
      <c r="I143" s="1141"/>
      <c r="J143" s="1141"/>
      <c r="K143" s="1135"/>
      <c r="L143" s="1141"/>
      <c r="M143" s="1141"/>
      <c r="N143" s="1141"/>
      <c r="O143" s="1141"/>
      <c r="P143" s="1141"/>
      <c r="Q143" s="1141"/>
      <c r="R143" s="1141"/>
      <c r="S143" s="1141"/>
      <c r="T143" s="1141"/>
      <c r="U143" s="1135"/>
      <c r="V143" s="1141"/>
      <c r="W143" s="1141"/>
      <c r="X143" s="1141"/>
      <c r="Y143" s="1141"/>
      <c r="Z143" s="1141"/>
      <c r="AA143" s="1141"/>
      <c r="AB143" s="1141"/>
      <c r="AC143" s="1141"/>
      <c r="AD143" s="1141"/>
      <c r="AE143" s="1135"/>
      <c r="AF143" s="1141"/>
      <c r="AG143" s="1135"/>
      <c r="AH143" s="1141"/>
      <c r="AI143" s="1141"/>
      <c r="AJ143" s="1142"/>
      <c r="AK143" s="1137">
        <f t="shared" si="9"/>
        <v>0</v>
      </c>
      <c r="AL143" s="1137">
        <f t="shared" si="9"/>
        <v>0</v>
      </c>
    </row>
    <row r="144" spans="1:38" hidden="1" outlineLevel="2" x14ac:dyDescent="0.3">
      <c r="A144" s="1130"/>
      <c r="B144" s="1138"/>
      <c r="C144" s="1139"/>
      <c r="D144" s="1140"/>
      <c r="E144" s="1134"/>
      <c r="F144" s="1141"/>
      <c r="G144" s="1141"/>
      <c r="H144" s="1141"/>
      <c r="I144" s="1141"/>
      <c r="J144" s="1141"/>
      <c r="K144" s="1135"/>
      <c r="L144" s="1141"/>
      <c r="M144" s="1141"/>
      <c r="N144" s="1141"/>
      <c r="O144" s="1141"/>
      <c r="P144" s="1141"/>
      <c r="Q144" s="1141"/>
      <c r="R144" s="1141"/>
      <c r="S144" s="1141"/>
      <c r="T144" s="1141"/>
      <c r="U144" s="1135"/>
      <c r="V144" s="1141"/>
      <c r="W144" s="1141"/>
      <c r="X144" s="1141"/>
      <c r="Y144" s="1141"/>
      <c r="Z144" s="1141"/>
      <c r="AA144" s="1141"/>
      <c r="AB144" s="1141"/>
      <c r="AC144" s="1141"/>
      <c r="AD144" s="1141"/>
      <c r="AE144" s="1135"/>
      <c r="AF144" s="1141"/>
      <c r="AG144" s="1135"/>
      <c r="AH144" s="1141"/>
      <c r="AI144" s="1141"/>
      <c r="AJ144" s="1142"/>
      <c r="AK144" s="1137">
        <f t="shared" si="9"/>
        <v>0</v>
      </c>
      <c r="AL144" s="1137">
        <f t="shared" si="9"/>
        <v>0</v>
      </c>
    </row>
    <row r="145" spans="1:38" hidden="1" outlineLevel="2" x14ac:dyDescent="0.3">
      <c r="A145" s="1130"/>
      <c r="B145" s="1138"/>
      <c r="C145" s="1139"/>
      <c r="D145" s="1140"/>
      <c r="E145" s="1134"/>
      <c r="F145" s="1141"/>
      <c r="G145" s="1141"/>
      <c r="H145" s="1141"/>
      <c r="I145" s="1141"/>
      <c r="J145" s="1141"/>
      <c r="K145" s="1135"/>
      <c r="L145" s="1141"/>
      <c r="M145" s="1141"/>
      <c r="N145" s="1141"/>
      <c r="O145" s="1141"/>
      <c r="P145" s="1141"/>
      <c r="Q145" s="1141"/>
      <c r="R145" s="1141"/>
      <c r="S145" s="1141"/>
      <c r="T145" s="1141"/>
      <c r="U145" s="1135"/>
      <c r="V145" s="1141"/>
      <c r="W145" s="1141"/>
      <c r="X145" s="1141"/>
      <c r="Y145" s="1141"/>
      <c r="Z145" s="1141"/>
      <c r="AA145" s="1141"/>
      <c r="AB145" s="1141"/>
      <c r="AC145" s="1141"/>
      <c r="AD145" s="1141"/>
      <c r="AE145" s="1135"/>
      <c r="AF145" s="1141"/>
      <c r="AG145" s="1135"/>
      <c r="AH145" s="1141"/>
      <c r="AI145" s="1141"/>
      <c r="AJ145" s="1142"/>
      <c r="AK145" s="1137">
        <f t="shared" si="9"/>
        <v>0</v>
      </c>
      <c r="AL145" s="1137">
        <f t="shared" si="9"/>
        <v>0</v>
      </c>
    </row>
    <row r="146" spans="1:38" hidden="1" outlineLevel="2" x14ac:dyDescent="0.3">
      <c r="A146" s="1130"/>
      <c r="B146" s="1138"/>
      <c r="C146" s="1139"/>
      <c r="D146" s="1140"/>
      <c r="E146" s="1134"/>
      <c r="F146" s="1141"/>
      <c r="G146" s="1141"/>
      <c r="H146" s="1141"/>
      <c r="I146" s="1141"/>
      <c r="J146" s="1141"/>
      <c r="K146" s="1135"/>
      <c r="L146" s="1141"/>
      <c r="M146" s="1141"/>
      <c r="N146" s="1141"/>
      <c r="O146" s="1141"/>
      <c r="P146" s="1141"/>
      <c r="Q146" s="1141"/>
      <c r="R146" s="1141"/>
      <c r="S146" s="1141"/>
      <c r="T146" s="1141"/>
      <c r="U146" s="1135"/>
      <c r="V146" s="1141"/>
      <c r="W146" s="1141"/>
      <c r="X146" s="1141"/>
      <c r="Y146" s="1141"/>
      <c r="Z146" s="1141"/>
      <c r="AA146" s="1141"/>
      <c r="AB146" s="1141"/>
      <c r="AC146" s="1141"/>
      <c r="AD146" s="1141"/>
      <c r="AE146" s="1135"/>
      <c r="AF146" s="1141"/>
      <c r="AG146" s="1135"/>
      <c r="AH146" s="1141"/>
      <c r="AI146" s="1141"/>
      <c r="AJ146" s="1142"/>
      <c r="AK146" s="1137">
        <f t="shared" si="9"/>
        <v>0</v>
      </c>
      <c r="AL146" s="1137">
        <f t="shared" si="9"/>
        <v>0</v>
      </c>
    </row>
    <row r="147" spans="1:38" hidden="1" outlineLevel="2" x14ac:dyDescent="0.3">
      <c r="A147" s="1130"/>
      <c r="B147" s="1138"/>
      <c r="C147" s="1139"/>
      <c r="D147" s="1140"/>
      <c r="E147" s="1134"/>
      <c r="F147" s="1141"/>
      <c r="G147" s="1141"/>
      <c r="H147" s="1141"/>
      <c r="I147" s="1141"/>
      <c r="J147" s="1141"/>
      <c r="K147" s="1135"/>
      <c r="L147" s="1141"/>
      <c r="M147" s="1141"/>
      <c r="N147" s="1141"/>
      <c r="O147" s="1141"/>
      <c r="P147" s="1141"/>
      <c r="Q147" s="1141"/>
      <c r="R147" s="1141"/>
      <c r="S147" s="1141"/>
      <c r="T147" s="1141"/>
      <c r="U147" s="1135"/>
      <c r="V147" s="1141"/>
      <c r="W147" s="1141"/>
      <c r="X147" s="1141"/>
      <c r="Y147" s="1141"/>
      <c r="Z147" s="1141"/>
      <c r="AA147" s="1141"/>
      <c r="AB147" s="1141"/>
      <c r="AC147" s="1141"/>
      <c r="AD147" s="1141"/>
      <c r="AE147" s="1135"/>
      <c r="AF147" s="1141"/>
      <c r="AG147" s="1135"/>
      <c r="AH147" s="1141"/>
      <c r="AI147" s="1141"/>
      <c r="AJ147" s="1142"/>
      <c r="AK147" s="1137">
        <f t="shared" si="9"/>
        <v>0</v>
      </c>
      <c r="AL147" s="1137">
        <f t="shared" si="9"/>
        <v>0</v>
      </c>
    </row>
    <row r="148" spans="1:38" hidden="1" outlineLevel="2" x14ac:dyDescent="0.3">
      <c r="A148" s="1130"/>
      <c r="B148" s="1138"/>
      <c r="C148" s="1139"/>
      <c r="D148" s="1140"/>
      <c r="E148" s="1134"/>
      <c r="F148" s="1141"/>
      <c r="G148" s="1141"/>
      <c r="H148" s="1141"/>
      <c r="I148" s="1141"/>
      <c r="J148" s="1141"/>
      <c r="K148" s="1135"/>
      <c r="L148" s="1141"/>
      <c r="M148" s="1141"/>
      <c r="N148" s="1141"/>
      <c r="O148" s="1141"/>
      <c r="P148" s="1141"/>
      <c r="Q148" s="1141"/>
      <c r="R148" s="1141"/>
      <c r="S148" s="1141"/>
      <c r="T148" s="1141"/>
      <c r="U148" s="1135"/>
      <c r="V148" s="1141"/>
      <c r="W148" s="1141"/>
      <c r="X148" s="1141"/>
      <c r="Y148" s="1141"/>
      <c r="Z148" s="1141"/>
      <c r="AA148" s="1141"/>
      <c r="AB148" s="1141"/>
      <c r="AC148" s="1141"/>
      <c r="AD148" s="1141"/>
      <c r="AE148" s="1135"/>
      <c r="AF148" s="1141"/>
      <c r="AG148" s="1135"/>
      <c r="AH148" s="1141"/>
      <c r="AI148" s="1141"/>
      <c r="AJ148" s="1142"/>
      <c r="AK148" s="1137">
        <f t="shared" si="9"/>
        <v>0</v>
      </c>
      <c r="AL148" s="1137">
        <f t="shared" si="9"/>
        <v>0</v>
      </c>
    </row>
    <row r="149" spans="1:38" hidden="1" outlineLevel="2" x14ac:dyDescent="0.3">
      <c r="A149" s="1130"/>
      <c r="B149" s="1138"/>
      <c r="C149" s="1139"/>
      <c r="D149" s="1140"/>
      <c r="E149" s="1134"/>
      <c r="F149" s="1141"/>
      <c r="G149" s="1141"/>
      <c r="H149" s="1141"/>
      <c r="I149" s="1141"/>
      <c r="J149" s="1141"/>
      <c r="K149" s="1135"/>
      <c r="L149" s="1141"/>
      <c r="M149" s="1141"/>
      <c r="N149" s="1141"/>
      <c r="O149" s="1141"/>
      <c r="P149" s="1141"/>
      <c r="Q149" s="1141"/>
      <c r="R149" s="1141"/>
      <c r="S149" s="1141"/>
      <c r="T149" s="1141"/>
      <c r="U149" s="1135"/>
      <c r="V149" s="1141"/>
      <c r="W149" s="1141"/>
      <c r="X149" s="1141"/>
      <c r="Y149" s="1141"/>
      <c r="Z149" s="1141"/>
      <c r="AA149" s="1141"/>
      <c r="AB149" s="1141"/>
      <c r="AC149" s="1141"/>
      <c r="AD149" s="1141"/>
      <c r="AE149" s="1135"/>
      <c r="AF149" s="1141"/>
      <c r="AG149" s="1135"/>
      <c r="AH149" s="1141"/>
      <c r="AI149" s="1141"/>
      <c r="AJ149" s="1142"/>
      <c r="AK149" s="1137">
        <f t="shared" ref="AK149:AL166" si="10">SUM(E149,G149,I149)-SUM(K149,M149,O149,Q149,S149,U149,W149,Y149,AA149,AC149,AE149,AG149,AI149)</f>
        <v>0</v>
      </c>
      <c r="AL149" s="1137">
        <f t="shared" si="10"/>
        <v>0</v>
      </c>
    </row>
    <row r="150" spans="1:38" hidden="1" outlineLevel="2" x14ac:dyDescent="0.3">
      <c r="A150" s="1130"/>
      <c r="B150" s="1138"/>
      <c r="C150" s="1139"/>
      <c r="D150" s="1140"/>
      <c r="E150" s="1134"/>
      <c r="F150" s="1141"/>
      <c r="G150" s="1141"/>
      <c r="H150" s="1141"/>
      <c r="I150" s="1141"/>
      <c r="J150" s="1141"/>
      <c r="K150" s="1135"/>
      <c r="L150" s="1141"/>
      <c r="M150" s="1141"/>
      <c r="N150" s="1141"/>
      <c r="O150" s="1141"/>
      <c r="P150" s="1141"/>
      <c r="Q150" s="1141"/>
      <c r="R150" s="1141"/>
      <c r="S150" s="1141"/>
      <c r="T150" s="1141"/>
      <c r="U150" s="1135"/>
      <c r="V150" s="1141"/>
      <c r="W150" s="1141"/>
      <c r="X150" s="1141"/>
      <c r="Y150" s="1141"/>
      <c r="Z150" s="1141"/>
      <c r="AA150" s="1141"/>
      <c r="AB150" s="1141"/>
      <c r="AC150" s="1141"/>
      <c r="AD150" s="1141"/>
      <c r="AE150" s="1135"/>
      <c r="AF150" s="1141"/>
      <c r="AG150" s="1135"/>
      <c r="AH150" s="1141"/>
      <c r="AI150" s="1141"/>
      <c r="AJ150" s="1142"/>
      <c r="AK150" s="1137">
        <f t="shared" si="10"/>
        <v>0</v>
      </c>
      <c r="AL150" s="1137">
        <f t="shared" si="10"/>
        <v>0</v>
      </c>
    </row>
    <row r="151" spans="1:38" hidden="1" outlineLevel="2" x14ac:dyDescent="0.3">
      <c r="A151" s="1130"/>
      <c r="B151" s="1138"/>
      <c r="C151" s="1139"/>
      <c r="D151" s="1140"/>
      <c r="E151" s="1134"/>
      <c r="F151" s="1141"/>
      <c r="G151" s="1141"/>
      <c r="H151" s="1141"/>
      <c r="I151" s="1141"/>
      <c r="J151" s="1141"/>
      <c r="K151" s="1135"/>
      <c r="L151" s="1141"/>
      <c r="M151" s="1141"/>
      <c r="N151" s="1141"/>
      <c r="O151" s="1141"/>
      <c r="P151" s="1141"/>
      <c r="Q151" s="1141"/>
      <c r="R151" s="1141"/>
      <c r="S151" s="1141"/>
      <c r="T151" s="1141"/>
      <c r="U151" s="1135"/>
      <c r="V151" s="1141"/>
      <c r="W151" s="1141"/>
      <c r="X151" s="1141"/>
      <c r="Y151" s="1141"/>
      <c r="Z151" s="1141"/>
      <c r="AA151" s="1141"/>
      <c r="AB151" s="1141"/>
      <c r="AC151" s="1141"/>
      <c r="AD151" s="1141"/>
      <c r="AE151" s="1135"/>
      <c r="AF151" s="1141"/>
      <c r="AG151" s="1135"/>
      <c r="AH151" s="1141"/>
      <c r="AI151" s="1141"/>
      <c r="AJ151" s="1142"/>
      <c r="AK151" s="1137">
        <f t="shared" si="10"/>
        <v>0</v>
      </c>
      <c r="AL151" s="1137">
        <f t="shared" si="10"/>
        <v>0</v>
      </c>
    </row>
    <row r="152" spans="1:38" hidden="1" outlineLevel="2" x14ac:dyDescent="0.3">
      <c r="A152" s="1130"/>
      <c r="B152" s="1138"/>
      <c r="C152" s="1139"/>
      <c r="D152" s="1140"/>
      <c r="E152" s="1134"/>
      <c r="F152" s="1141"/>
      <c r="G152" s="1141"/>
      <c r="H152" s="1141"/>
      <c r="I152" s="1141"/>
      <c r="J152" s="1141"/>
      <c r="K152" s="1135"/>
      <c r="L152" s="1141"/>
      <c r="M152" s="1141"/>
      <c r="N152" s="1141"/>
      <c r="O152" s="1141"/>
      <c r="P152" s="1141"/>
      <c r="Q152" s="1141"/>
      <c r="R152" s="1141"/>
      <c r="S152" s="1141"/>
      <c r="T152" s="1141"/>
      <c r="U152" s="1135"/>
      <c r="V152" s="1141"/>
      <c r="W152" s="1141"/>
      <c r="X152" s="1141"/>
      <c r="Y152" s="1141"/>
      <c r="Z152" s="1141"/>
      <c r="AA152" s="1141"/>
      <c r="AB152" s="1141"/>
      <c r="AC152" s="1141"/>
      <c r="AD152" s="1141"/>
      <c r="AE152" s="1135"/>
      <c r="AF152" s="1141"/>
      <c r="AG152" s="1135"/>
      <c r="AH152" s="1141"/>
      <c r="AI152" s="1141"/>
      <c r="AJ152" s="1142"/>
      <c r="AK152" s="1137">
        <f t="shared" si="10"/>
        <v>0</v>
      </c>
      <c r="AL152" s="1137">
        <f t="shared" si="10"/>
        <v>0</v>
      </c>
    </row>
    <row r="153" spans="1:38" hidden="1" outlineLevel="2" x14ac:dyDescent="0.3">
      <c r="A153" s="1130"/>
      <c r="B153" s="1138"/>
      <c r="C153" s="1139"/>
      <c r="D153" s="1140"/>
      <c r="E153" s="1134"/>
      <c r="F153" s="1141"/>
      <c r="G153" s="1141"/>
      <c r="H153" s="1141"/>
      <c r="I153" s="1141"/>
      <c r="J153" s="1141"/>
      <c r="K153" s="1135"/>
      <c r="L153" s="1141"/>
      <c r="M153" s="1141"/>
      <c r="N153" s="1141"/>
      <c r="O153" s="1141"/>
      <c r="P153" s="1141"/>
      <c r="Q153" s="1141"/>
      <c r="R153" s="1141"/>
      <c r="S153" s="1141"/>
      <c r="T153" s="1141"/>
      <c r="U153" s="1135"/>
      <c r="V153" s="1141"/>
      <c r="W153" s="1141"/>
      <c r="X153" s="1141"/>
      <c r="Y153" s="1141"/>
      <c r="Z153" s="1141"/>
      <c r="AA153" s="1141"/>
      <c r="AB153" s="1141"/>
      <c r="AC153" s="1141"/>
      <c r="AD153" s="1141"/>
      <c r="AE153" s="1135"/>
      <c r="AF153" s="1141"/>
      <c r="AG153" s="1135"/>
      <c r="AH153" s="1141"/>
      <c r="AI153" s="1141"/>
      <c r="AJ153" s="1142"/>
      <c r="AK153" s="1137">
        <f t="shared" si="10"/>
        <v>0</v>
      </c>
      <c r="AL153" s="1137">
        <f t="shared" si="10"/>
        <v>0</v>
      </c>
    </row>
    <row r="154" spans="1:38" hidden="1" outlineLevel="2" x14ac:dyDescent="0.3">
      <c r="A154" s="1130"/>
      <c r="B154" s="1138"/>
      <c r="C154" s="1139"/>
      <c r="D154" s="1140"/>
      <c r="E154" s="1134"/>
      <c r="F154" s="1141"/>
      <c r="G154" s="1141"/>
      <c r="H154" s="1141"/>
      <c r="I154" s="1141"/>
      <c r="J154" s="1141"/>
      <c r="K154" s="1135"/>
      <c r="L154" s="1141"/>
      <c r="M154" s="1141"/>
      <c r="N154" s="1141"/>
      <c r="O154" s="1141"/>
      <c r="P154" s="1141"/>
      <c r="Q154" s="1141"/>
      <c r="R154" s="1141"/>
      <c r="S154" s="1141"/>
      <c r="T154" s="1141"/>
      <c r="U154" s="1135"/>
      <c r="V154" s="1141"/>
      <c r="W154" s="1141"/>
      <c r="X154" s="1141"/>
      <c r="Y154" s="1141"/>
      <c r="Z154" s="1141"/>
      <c r="AA154" s="1141"/>
      <c r="AB154" s="1141"/>
      <c r="AC154" s="1141"/>
      <c r="AD154" s="1141"/>
      <c r="AE154" s="1135"/>
      <c r="AF154" s="1141"/>
      <c r="AG154" s="1135"/>
      <c r="AH154" s="1141"/>
      <c r="AI154" s="1141"/>
      <c r="AJ154" s="1142"/>
      <c r="AK154" s="1137">
        <f t="shared" si="10"/>
        <v>0</v>
      </c>
      <c r="AL154" s="1137">
        <f t="shared" si="10"/>
        <v>0</v>
      </c>
    </row>
    <row r="155" spans="1:38" hidden="1" outlineLevel="2" x14ac:dyDescent="0.3">
      <c r="A155" s="1130"/>
      <c r="B155" s="1138"/>
      <c r="C155" s="1139"/>
      <c r="D155" s="1140"/>
      <c r="E155" s="1134"/>
      <c r="F155" s="1141"/>
      <c r="G155" s="1141"/>
      <c r="H155" s="1141"/>
      <c r="I155" s="1141"/>
      <c r="J155" s="1141"/>
      <c r="K155" s="1135"/>
      <c r="L155" s="1141"/>
      <c r="M155" s="1141"/>
      <c r="N155" s="1141"/>
      <c r="O155" s="1141"/>
      <c r="P155" s="1141"/>
      <c r="Q155" s="1141"/>
      <c r="R155" s="1141"/>
      <c r="S155" s="1141"/>
      <c r="T155" s="1141"/>
      <c r="U155" s="1135"/>
      <c r="V155" s="1141"/>
      <c r="W155" s="1141"/>
      <c r="X155" s="1141"/>
      <c r="Y155" s="1141"/>
      <c r="Z155" s="1141"/>
      <c r="AA155" s="1141"/>
      <c r="AB155" s="1141"/>
      <c r="AC155" s="1141"/>
      <c r="AD155" s="1141"/>
      <c r="AE155" s="1135"/>
      <c r="AF155" s="1141"/>
      <c r="AG155" s="1135"/>
      <c r="AH155" s="1141"/>
      <c r="AI155" s="1141"/>
      <c r="AJ155" s="1142"/>
      <c r="AK155" s="1137">
        <f t="shared" si="10"/>
        <v>0</v>
      </c>
      <c r="AL155" s="1137">
        <f t="shared" si="10"/>
        <v>0</v>
      </c>
    </row>
    <row r="156" spans="1:38" hidden="1" outlineLevel="2" x14ac:dyDescent="0.3">
      <c r="A156" s="1130"/>
      <c r="B156" s="1138"/>
      <c r="C156" s="1139"/>
      <c r="D156" s="1140"/>
      <c r="E156" s="1134"/>
      <c r="F156" s="1141"/>
      <c r="G156" s="1141"/>
      <c r="H156" s="1141"/>
      <c r="I156" s="1141"/>
      <c r="J156" s="1141"/>
      <c r="K156" s="1135"/>
      <c r="L156" s="1141"/>
      <c r="M156" s="1141"/>
      <c r="N156" s="1141"/>
      <c r="O156" s="1141"/>
      <c r="P156" s="1141"/>
      <c r="Q156" s="1141"/>
      <c r="R156" s="1141"/>
      <c r="S156" s="1141"/>
      <c r="T156" s="1141"/>
      <c r="U156" s="1135"/>
      <c r="V156" s="1141"/>
      <c r="W156" s="1141"/>
      <c r="X156" s="1141"/>
      <c r="Y156" s="1141"/>
      <c r="Z156" s="1141"/>
      <c r="AA156" s="1141"/>
      <c r="AB156" s="1141"/>
      <c r="AC156" s="1141"/>
      <c r="AD156" s="1141"/>
      <c r="AE156" s="1135"/>
      <c r="AF156" s="1141"/>
      <c r="AG156" s="1135"/>
      <c r="AH156" s="1141"/>
      <c r="AI156" s="1141"/>
      <c r="AJ156" s="1142"/>
      <c r="AK156" s="1137">
        <f t="shared" si="10"/>
        <v>0</v>
      </c>
      <c r="AL156" s="1137">
        <f t="shared" si="10"/>
        <v>0</v>
      </c>
    </row>
    <row r="157" spans="1:38" hidden="1" outlineLevel="2" x14ac:dyDescent="0.3">
      <c r="A157" s="1130"/>
      <c r="B157" s="1138"/>
      <c r="C157" s="1139"/>
      <c r="D157" s="1140"/>
      <c r="E157" s="1134"/>
      <c r="F157" s="1141"/>
      <c r="G157" s="1141"/>
      <c r="H157" s="1141"/>
      <c r="I157" s="1141"/>
      <c r="J157" s="1141"/>
      <c r="K157" s="1135"/>
      <c r="L157" s="1141"/>
      <c r="M157" s="1141"/>
      <c r="N157" s="1141"/>
      <c r="O157" s="1141"/>
      <c r="P157" s="1141"/>
      <c r="Q157" s="1141"/>
      <c r="R157" s="1141"/>
      <c r="S157" s="1141"/>
      <c r="T157" s="1141"/>
      <c r="U157" s="1135"/>
      <c r="V157" s="1141"/>
      <c r="W157" s="1141"/>
      <c r="X157" s="1141"/>
      <c r="Y157" s="1141"/>
      <c r="Z157" s="1141"/>
      <c r="AA157" s="1141"/>
      <c r="AB157" s="1141"/>
      <c r="AC157" s="1141"/>
      <c r="AD157" s="1141"/>
      <c r="AE157" s="1135"/>
      <c r="AF157" s="1141"/>
      <c r="AG157" s="1135"/>
      <c r="AH157" s="1141"/>
      <c r="AI157" s="1141"/>
      <c r="AJ157" s="1142"/>
      <c r="AK157" s="1137">
        <f t="shared" si="10"/>
        <v>0</v>
      </c>
      <c r="AL157" s="1137">
        <f t="shared" si="10"/>
        <v>0</v>
      </c>
    </row>
    <row r="158" spans="1:38" hidden="1" outlineLevel="2" x14ac:dyDescent="0.3">
      <c r="A158" s="1130"/>
      <c r="B158" s="1138"/>
      <c r="C158" s="1139"/>
      <c r="D158" s="1140"/>
      <c r="E158" s="1134"/>
      <c r="F158" s="1141"/>
      <c r="G158" s="1141"/>
      <c r="H158" s="1141"/>
      <c r="I158" s="1141"/>
      <c r="J158" s="1141"/>
      <c r="K158" s="1135"/>
      <c r="L158" s="1141"/>
      <c r="M158" s="1141"/>
      <c r="N158" s="1141"/>
      <c r="O158" s="1141"/>
      <c r="P158" s="1141"/>
      <c r="Q158" s="1141"/>
      <c r="R158" s="1141"/>
      <c r="S158" s="1141"/>
      <c r="T158" s="1141"/>
      <c r="U158" s="1135"/>
      <c r="V158" s="1141"/>
      <c r="W158" s="1141"/>
      <c r="X158" s="1141"/>
      <c r="Y158" s="1141"/>
      <c r="Z158" s="1141"/>
      <c r="AA158" s="1141"/>
      <c r="AB158" s="1141"/>
      <c r="AC158" s="1141"/>
      <c r="AD158" s="1141"/>
      <c r="AE158" s="1135"/>
      <c r="AF158" s="1141"/>
      <c r="AG158" s="1135"/>
      <c r="AH158" s="1141"/>
      <c r="AI158" s="1141"/>
      <c r="AJ158" s="1142"/>
      <c r="AK158" s="1137">
        <f t="shared" si="10"/>
        <v>0</v>
      </c>
      <c r="AL158" s="1137">
        <f t="shared" si="10"/>
        <v>0</v>
      </c>
    </row>
    <row r="159" spans="1:38" hidden="1" outlineLevel="2" x14ac:dyDescent="0.3">
      <c r="A159" s="1130"/>
      <c r="B159" s="1138"/>
      <c r="C159" s="1139"/>
      <c r="D159" s="1140"/>
      <c r="E159" s="1134"/>
      <c r="F159" s="1141"/>
      <c r="G159" s="1141"/>
      <c r="H159" s="1141"/>
      <c r="I159" s="1141"/>
      <c r="J159" s="1141"/>
      <c r="K159" s="1135"/>
      <c r="L159" s="1141"/>
      <c r="M159" s="1141"/>
      <c r="N159" s="1141"/>
      <c r="O159" s="1141"/>
      <c r="P159" s="1141"/>
      <c r="Q159" s="1141"/>
      <c r="R159" s="1141"/>
      <c r="S159" s="1141"/>
      <c r="T159" s="1141"/>
      <c r="U159" s="1135"/>
      <c r="V159" s="1141"/>
      <c r="W159" s="1141"/>
      <c r="X159" s="1141"/>
      <c r="Y159" s="1141"/>
      <c r="Z159" s="1141"/>
      <c r="AA159" s="1141"/>
      <c r="AB159" s="1141"/>
      <c r="AC159" s="1141"/>
      <c r="AD159" s="1141"/>
      <c r="AE159" s="1135"/>
      <c r="AF159" s="1141"/>
      <c r="AG159" s="1135"/>
      <c r="AH159" s="1141"/>
      <c r="AI159" s="1141"/>
      <c r="AJ159" s="1142"/>
      <c r="AK159" s="1137">
        <f t="shared" si="10"/>
        <v>0</v>
      </c>
      <c r="AL159" s="1137">
        <f t="shared" si="10"/>
        <v>0</v>
      </c>
    </row>
    <row r="160" spans="1:38" hidden="1" outlineLevel="2" x14ac:dyDescent="0.3">
      <c r="A160" s="1130"/>
      <c r="B160" s="1138"/>
      <c r="C160" s="1139"/>
      <c r="D160" s="1140"/>
      <c r="E160" s="1134"/>
      <c r="F160" s="1141"/>
      <c r="G160" s="1141"/>
      <c r="H160" s="1141"/>
      <c r="I160" s="1141"/>
      <c r="J160" s="1141"/>
      <c r="K160" s="1135"/>
      <c r="L160" s="1141"/>
      <c r="M160" s="1141"/>
      <c r="N160" s="1141"/>
      <c r="O160" s="1141"/>
      <c r="P160" s="1141"/>
      <c r="Q160" s="1141"/>
      <c r="R160" s="1141"/>
      <c r="S160" s="1141"/>
      <c r="T160" s="1141"/>
      <c r="U160" s="1135"/>
      <c r="V160" s="1141"/>
      <c r="W160" s="1141"/>
      <c r="X160" s="1141"/>
      <c r="Y160" s="1141"/>
      <c r="Z160" s="1141"/>
      <c r="AA160" s="1141"/>
      <c r="AB160" s="1141"/>
      <c r="AC160" s="1141"/>
      <c r="AD160" s="1141"/>
      <c r="AE160" s="1135"/>
      <c r="AF160" s="1141"/>
      <c r="AG160" s="1135"/>
      <c r="AH160" s="1141"/>
      <c r="AI160" s="1141"/>
      <c r="AJ160" s="1142"/>
      <c r="AK160" s="1137">
        <f t="shared" si="10"/>
        <v>0</v>
      </c>
      <c r="AL160" s="1137">
        <f t="shared" si="10"/>
        <v>0</v>
      </c>
    </row>
    <row r="161" spans="1:38" hidden="1" outlineLevel="2" x14ac:dyDescent="0.3">
      <c r="A161" s="1130"/>
      <c r="B161" s="1138"/>
      <c r="C161" s="1139"/>
      <c r="D161" s="1140"/>
      <c r="E161" s="1134"/>
      <c r="F161" s="1141"/>
      <c r="G161" s="1141"/>
      <c r="H161" s="1141"/>
      <c r="I161" s="1141"/>
      <c r="J161" s="1141"/>
      <c r="K161" s="1135"/>
      <c r="L161" s="1141"/>
      <c r="M161" s="1141"/>
      <c r="N161" s="1141"/>
      <c r="O161" s="1141"/>
      <c r="P161" s="1141"/>
      <c r="Q161" s="1141"/>
      <c r="R161" s="1141"/>
      <c r="S161" s="1141"/>
      <c r="T161" s="1141"/>
      <c r="U161" s="1135"/>
      <c r="V161" s="1141"/>
      <c r="W161" s="1141"/>
      <c r="X161" s="1141"/>
      <c r="Y161" s="1141"/>
      <c r="Z161" s="1141"/>
      <c r="AA161" s="1141"/>
      <c r="AB161" s="1141"/>
      <c r="AC161" s="1141"/>
      <c r="AD161" s="1141"/>
      <c r="AE161" s="1135"/>
      <c r="AF161" s="1141"/>
      <c r="AG161" s="1135"/>
      <c r="AH161" s="1141"/>
      <c r="AI161" s="1141"/>
      <c r="AJ161" s="1142"/>
      <c r="AK161" s="1137">
        <f t="shared" si="10"/>
        <v>0</v>
      </c>
      <c r="AL161" s="1137">
        <f t="shared" si="10"/>
        <v>0</v>
      </c>
    </row>
    <row r="162" spans="1:38" hidden="1" outlineLevel="2" x14ac:dyDescent="0.3">
      <c r="A162" s="1130"/>
      <c r="B162" s="1138"/>
      <c r="C162" s="1139"/>
      <c r="D162" s="1140"/>
      <c r="E162" s="1134"/>
      <c r="F162" s="1141"/>
      <c r="G162" s="1141"/>
      <c r="H162" s="1141"/>
      <c r="I162" s="1141"/>
      <c r="J162" s="1141"/>
      <c r="K162" s="1135"/>
      <c r="L162" s="1141"/>
      <c r="M162" s="1141"/>
      <c r="N162" s="1141"/>
      <c r="O162" s="1141"/>
      <c r="P162" s="1141"/>
      <c r="Q162" s="1141"/>
      <c r="R162" s="1141"/>
      <c r="S162" s="1141"/>
      <c r="T162" s="1141"/>
      <c r="U162" s="1135"/>
      <c r="V162" s="1141"/>
      <c r="W162" s="1141"/>
      <c r="X162" s="1141"/>
      <c r="Y162" s="1141"/>
      <c r="Z162" s="1141"/>
      <c r="AA162" s="1141"/>
      <c r="AB162" s="1141"/>
      <c r="AC162" s="1141"/>
      <c r="AD162" s="1141"/>
      <c r="AE162" s="1135"/>
      <c r="AF162" s="1141"/>
      <c r="AG162" s="1135"/>
      <c r="AH162" s="1141"/>
      <c r="AI162" s="1141"/>
      <c r="AJ162" s="1142"/>
      <c r="AK162" s="1137">
        <f t="shared" si="10"/>
        <v>0</v>
      </c>
      <c r="AL162" s="1137">
        <f t="shared" si="10"/>
        <v>0</v>
      </c>
    </row>
    <row r="163" spans="1:38" hidden="1" outlineLevel="2" x14ac:dyDescent="0.3">
      <c r="A163" s="1130"/>
      <c r="B163" s="1138"/>
      <c r="C163" s="1139"/>
      <c r="D163" s="1140"/>
      <c r="E163" s="1134"/>
      <c r="F163" s="1141"/>
      <c r="G163" s="1141"/>
      <c r="H163" s="1141"/>
      <c r="I163" s="1141"/>
      <c r="J163" s="1141"/>
      <c r="K163" s="1135"/>
      <c r="L163" s="1141"/>
      <c r="M163" s="1141"/>
      <c r="N163" s="1141"/>
      <c r="O163" s="1141"/>
      <c r="P163" s="1141"/>
      <c r="Q163" s="1141"/>
      <c r="R163" s="1141"/>
      <c r="S163" s="1141"/>
      <c r="T163" s="1141"/>
      <c r="U163" s="1135"/>
      <c r="V163" s="1141"/>
      <c r="W163" s="1141"/>
      <c r="X163" s="1141"/>
      <c r="Y163" s="1141"/>
      <c r="Z163" s="1141"/>
      <c r="AA163" s="1141"/>
      <c r="AB163" s="1141"/>
      <c r="AC163" s="1141"/>
      <c r="AD163" s="1141"/>
      <c r="AE163" s="1135"/>
      <c r="AF163" s="1141"/>
      <c r="AG163" s="1135"/>
      <c r="AH163" s="1141"/>
      <c r="AI163" s="1141"/>
      <c r="AJ163" s="1142"/>
      <c r="AK163" s="1137">
        <f t="shared" si="10"/>
        <v>0</v>
      </c>
      <c r="AL163" s="1137">
        <f t="shared" si="10"/>
        <v>0</v>
      </c>
    </row>
    <row r="164" spans="1:38" hidden="1" outlineLevel="2" x14ac:dyDescent="0.3">
      <c r="A164" s="1130"/>
      <c r="B164" s="1138"/>
      <c r="C164" s="1139"/>
      <c r="D164" s="1140"/>
      <c r="E164" s="1134"/>
      <c r="F164" s="1141"/>
      <c r="G164" s="1141"/>
      <c r="H164" s="1141"/>
      <c r="I164" s="1141"/>
      <c r="J164" s="1141"/>
      <c r="K164" s="1135"/>
      <c r="L164" s="1141"/>
      <c r="M164" s="1141"/>
      <c r="N164" s="1141"/>
      <c r="O164" s="1141"/>
      <c r="P164" s="1141"/>
      <c r="Q164" s="1141"/>
      <c r="R164" s="1141"/>
      <c r="S164" s="1141"/>
      <c r="T164" s="1141"/>
      <c r="U164" s="1135"/>
      <c r="V164" s="1141"/>
      <c r="W164" s="1141"/>
      <c r="X164" s="1141"/>
      <c r="Y164" s="1141"/>
      <c r="Z164" s="1141"/>
      <c r="AA164" s="1141"/>
      <c r="AB164" s="1141"/>
      <c r="AC164" s="1141"/>
      <c r="AD164" s="1141"/>
      <c r="AE164" s="1135"/>
      <c r="AF164" s="1141"/>
      <c r="AG164" s="1135"/>
      <c r="AH164" s="1141"/>
      <c r="AI164" s="1141"/>
      <c r="AJ164" s="1142"/>
      <c r="AK164" s="1137">
        <f t="shared" si="10"/>
        <v>0</v>
      </c>
      <c r="AL164" s="1137">
        <f t="shared" si="10"/>
        <v>0</v>
      </c>
    </row>
    <row r="165" spans="1:38" hidden="1" outlineLevel="2" x14ac:dyDescent="0.3">
      <c r="A165" s="1130"/>
      <c r="B165" s="1138"/>
      <c r="C165" s="1139"/>
      <c r="D165" s="1140"/>
      <c r="E165" s="1134"/>
      <c r="F165" s="1141"/>
      <c r="G165" s="1141"/>
      <c r="H165" s="1141"/>
      <c r="I165" s="1141"/>
      <c r="J165" s="1141"/>
      <c r="K165" s="1135"/>
      <c r="L165" s="1141"/>
      <c r="M165" s="1141"/>
      <c r="N165" s="1141"/>
      <c r="O165" s="1141"/>
      <c r="P165" s="1141"/>
      <c r="Q165" s="1141"/>
      <c r="R165" s="1141"/>
      <c r="S165" s="1141"/>
      <c r="T165" s="1141"/>
      <c r="U165" s="1135"/>
      <c r="V165" s="1141"/>
      <c r="W165" s="1141"/>
      <c r="X165" s="1141"/>
      <c r="Y165" s="1141"/>
      <c r="Z165" s="1141"/>
      <c r="AA165" s="1141"/>
      <c r="AB165" s="1141"/>
      <c r="AC165" s="1141"/>
      <c r="AD165" s="1141"/>
      <c r="AE165" s="1135"/>
      <c r="AF165" s="1141"/>
      <c r="AG165" s="1135"/>
      <c r="AH165" s="1141"/>
      <c r="AI165" s="1141"/>
      <c r="AJ165" s="1142"/>
      <c r="AK165" s="1137">
        <f t="shared" si="10"/>
        <v>0</v>
      </c>
      <c r="AL165" s="1137">
        <f t="shared" si="10"/>
        <v>0</v>
      </c>
    </row>
    <row r="166" spans="1:38" hidden="1" outlineLevel="2" x14ac:dyDescent="0.3">
      <c r="A166" s="1130"/>
      <c r="B166" s="1138"/>
      <c r="C166" s="1139"/>
      <c r="D166" s="1140"/>
      <c r="E166" s="1134"/>
      <c r="F166" s="1141"/>
      <c r="G166" s="1141"/>
      <c r="H166" s="1141"/>
      <c r="I166" s="1141"/>
      <c r="J166" s="1141"/>
      <c r="K166" s="1135"/>
      <c r="L166" s="1141"/>
      <c r="M166" s="1141"/>
      <c r="N166" s="1141"/>
      <c r="O166" s="1141"/>
      <c r="P166" s="1141"/>
      <c r="Q166" s="1141"/>
      <c r="R166" s="1141"/>
      <c r="S166" s="1141"/>
      <c r="T166" s="1141"/>
      <c r="U166" s="1135"/>
      <c r="V166" s="1141"/>
      <c r="W166" s="1141"/>
      <c r="X166" s="1141"/>
      <c r="Y166" s="1141"/>
      <c r="Z166" s="1141"/>
      <c r="AA166" s="1141"/>
      <c r="AB166" s="1141"/>
      <c r="AC166" s="1141"/>
      <c r="AD166" s="1141"/>
      <c r="AE166" s="1135"/>
      <c r="AF166" s="1141"/>
      <c r="AG166" s="1135"/>
      <c r="AH166" s="1141"/>
      <c r="AI166" s="1141"/>
      <c r="AJ166" s="1142"/>
      <c r="AK166" s="1137">
        <f t="shared" si="10"/>
        <v>0</v>
      </c>
      <c r="AL166" s="1137">
        <f t="shared" si="10"/>
        <v>0</v>
      </c>
    </row>
    <row r="167" spans="1:38" hidden="1" outlineLevel="2" x14ac:dyDescent="0.3">
      <c r="A167" s="1130"/>
      <c r="B167" s="1138"/>
      <c r="C167" s="1139"/>
      <c r="D167" s="1140"/>
      <c r="E167" s="1143"/>
      <c r="F167" s="1141"/>
      <c r="G167" s="1141"/>
      <c r="H167" s="1141"/>
      <c r="I167" s="1141"/>
      <c r="J167" s="1141"/>
      <c r="K167" s="1141"/>
      <c r="L167" s="1141"/>
      <c r="M167" s="1141"/>
      <c r="N167" s="1141"/>
      <c r="O167" s="1141"/>
      <c r="P167" s="1141"/>
      <c r="Q167" s="1141"/>
      <c r="R167" s="1141"/>
      <c r="S167" s="1141"/>
      <c r="T167" s="1141"/>
      <c r="U167" s="1135"/>
      <c r="V167" s="1141"/>
      <c r="W167" s="1141"/>
      <c r="X167" s="1141"/>
      <c r="Y167" s="1141"/>
      <c r="Z167" s="1141"/>
      <c r="AA167" s="1141"/>
      <c r="AB167" s="1141"/>
      <c r="AC167" s="1141"/>
      <c r="AD167" s="1141"/>
      <c r="AE167" s="1135"/>
      <c r="AF167" s="1141"/>
      <c r="AG167" s="1135"/>
      <c r="AH167" s="1141"/>
      <c r="AI167" s="1141"/>
      <c r="AJ167" s="1142"/>
      <c r="AK167" s="1137"/>
      <c r="AL167" s="1144"/>
    </row>
    <row r="168" spans="1:38" hidden="1" outlineLevel="2" x14ac:dyDescent="0.3">
      <c r="A168" s="1130"/>
      <c r="B168" s="1138"/>
      <c r="C168" s="1139"/>
      <c r="D168" s="1140"/>
      <c r="E168" s="1143"/>
      <c r="F168" s="1141"/>
      <c r="G168" s="1141"/>
      <c r="H168" s="1141"/>
      <c r="I168" s="1141"/>
      <c r="J168" s="1141"/>
      <c r="K168" s="1141"/>
      <c r="L168" s="1141"/>
      <c r="M168" s="1141"/>
      <c r="N168" s="1141"/>
      <c r="O168" s="1141"/>
      <c r="P168" s="1141"/>
      <c r="Q168" s="1141"/>
      <c r="R168" s="1141"/>
      <c r="S168" s="1141"/>
      <c r="T168" s="1141"/>
      <c r="U168" s="1141"/>
      <c r="V168" s="1141"/>
      <c r="W168" s="1141"/>
      <c r="X168" s="1141"/>
      <c r="Y168" s="1141"/>
      <c r="Z168" s="1141"/>
      <c r="AA168" s="1141"/>
      <c r="AB168" s="1141"/>
      <c r="AC168" s="1141"/>
      <c r="AD168" s="1141"/>
      <c r="AE168" s="1141"/>
      <c r="AF168" s="1141"/>
      <c r="AG168" s="1141"/>
      <c r="AH168" s="1141"/>
      <c r="AI168" s="1141"/>
      <c r="AJ168" s="1142"/>
      <c r="AK168" s="1142"/>
      <c r="AL168" s="1144"/>
    </row>
    <row r="169" spans="1:38" ht="15" outlineLevel="1" collapsed="1" thickBot="1" x14ac:dyDescent="0.35">
      <c r="A169" s="1130"/>
      <c r="B169" s="1145" t="s">
        <v>550</v>
      </c>
      <c r="C169" s="1146"/>
      <c r="D169" s="1147"/>
      <c r="E169" s="1148">
        <f t="shared" ref="E169:AL169" si="11">SUBTOTAL(9,E117:E168)</f>
        <v>0</v>
      </c>
      <c r="F169" s="1149">
        <f t="shared" si="11"/>
        <v>0</v>
      </c>
      <c r="G169" s="1149">
        <f t="shared" si="11"/>
        <v>0</v>
      </c>
      <c r="H169" s="1149">
        <f t="shared" si="11"/>
        <v>0</v>
      </c>
      <c r="I169" s="1149">
        <f t="shared" si="11"/>
        <v>0</v>
      </c>
      <c r="J169" s="1149">
        <f t="shared" si="11"/>
        <v>0</v>
      </c>
      <c r="K169" s="1149">
        <f t="shared" si="11"/>
        <v>0</v>
      </c>
      <c r="L169" s="1149">
        <f t="shared" si="11"/>
        <v>0</v>
      </c>
      <c r="M169" s="1149">
        <f t="shared" si="11"/>
        <v>0</v>
      </c>
      <c r="N169" s="1149">
        <f t="shared" si="11"/>
        <v>0</v>
      </c>
      <c r="O169" s="1149">
        <f t="shared" si="11"/>
        <v>0</v>
      </c>
      <c r="P169" s="1149">
        <f t="shared" si="11"/>
        <v>0</v>
      </c>
      <c r="Q169" s="1149">
        <f t="shared" si="11"/>
        <v>0</v>
      </c>
      <c r="R169" s="1149">
        <f t="shared" si="11"/>
        <v>0</v>
      </c>
      <c r="S169" s="1149">
        <f t="shared" si="11"/>
        <v>0</v>
      </c>
      <c r="T169" s="1149">
        <f t="shared" si="11"/>
        <v>0</v>
      </c>
      <c r="U169" s="1149">
        <f t="shared" si="11"/>
        <v>0</v>
      </c>
      <c r="V169" s="1149">
        <f t="shared" si="11"/>
        <v>0</v>
      </c>
      <c r="W169" s="1149">
        <f t="shared" si="11"/>
        <v>0</v>
      </c>
      <c r="X169" s="1149">
        <f t="shared" si="11"/>
        <v>0</v>
      </c>
      <c r="Y169" s="1149">
        <f t="shared" si="11"/>
        <v>0</v>
      </c>
      <c r="Z169" s="1149">
        <f t="shared" si="11"/>
        <v>0</v>
      </c>
      <c r="AA169" s="1149">
        <f t="shared" si="11"/>
        <v>0</v>
      </c>
      <c r="AB169" s="1149">
        <f t="shared" si="11"/>
        <v>0</v>
      </c>
      <c r="AC169" s="1149">
        <f t="shared" si="11"/>
        <v>0</v>
      </c>
      <c r="AD169" s="1149">
        <f t="shared" si="11"/>
        <v>0</v>
      </c>
      <c r="AE169" s="1149">
        <f t="shared" si="11"/>
        <v>0</v>
      </c>
      <c r="AF169" s="1149">
        <f t="shared" si="11"/>
        <v>0</v>
      </c>
      <c r="AG169" s="1149">
        <f t="shared" si="11"/>
        <v>0</v>
      </c>
      <c r="AH169" s="1149">
        <f t="shared" si="11"/>
        <v>0</v>
      </c>
      <c r="AI169" s="1149">
        <f t="shared" si="11"/>
        <v>0</v>
      </c>
      <c r="AJ169" s="1149">
        <f t="shared" si="11"/>
        <v>0</v>
      </c>
      <c r="AK169" s="1149">
        <f t="shared" si="11"/>
        <v>0</v>
      </c>
      <c r="AL169" s="1149">
        <f t="shared" si="11"/>
        <v>0</v>
      </c>
    </row>
    <row r="170" spans="1:38" ht="36" outlineLevel="1" x14ac:dyDescent="0.35">
      <c r="A170" s="1150" t="s">
        <v>1460</v>
      </c>
      <c r="B170" s="1151"/>
      <c r="C170" s="1152"/>
      <c r="D170" s="1153"/>
      <c r="E170" s="1154"/>
      <c r="F170" s="1155"/>
      <c r="G170" s="1155"/>
      <c r="H170" s="1155"/>
      <c r="I170" s="1155"/>
      <c r="J170" s="1155"/>
      <c r="K170" s="1155"/>
      <c r="L170" s="1155"/>
      <c r="M170" s="1155"/>
      <c r="N170" s="1155"/>
      <c r="O170" s="1155"/>
      <c r="P170" s="1155"/>
      <c r="Q170" s="1155"/>
      <c r="R170" s="1155"/>
      <c r="S170" s="1155"/>
      <c r="T170" s="1155"/>
      <c r="U170" s="1155"/>
      <c r="V170" s="1155"/>
      <c r="W170" s="1155"/>
      <c r="X170" s="1155"/>
      <c r="Y170" s="1155"/>
      <c r="Z170" s="1155"/>
      <c r="AA170" s="1155"/>
      <c r="AB170" s="1155"/>
      <c r="AC170" s="1155"/>
      <c r="AD170" s="1155"/>
      <c r="AE170" s="1155"/>
      <c r="AF170" s="1155"/>
      <c r="AG170" s="1155"/>
      <c r="AH170" s="1155"/>
      <c r="AI170" s="1155"/>
      <c r="AJ170" s="1156"/>
      <c r="AK170" s="1156"/>
      <c r="AL170" s="1157"/>
    </row>
    <row r="171" spans="1:38" hidden="1" outlineLevel="2" x14ac:dyDescent="0.3">
      <c r="A171" s="1158"/>
      <c r="B171" s="1159"/>
      <c r="C171" s="1160"/>
      <c r="D171" s="1161"/>
      <c r="E171" s="1162"/>
      <c r="F171" s="1163"/>
      <c r="G171" s="1163"/>
      <c r="H171" s="1163"/>
      <c r="I171" s="1163"/>
      <c r="J171" s="1163"/>
      <c r="K171" s="1163"/>
      <c r="L171" s="1163"/>
      <c r="M171" s="1163"/>
      <c r="N171" s="1163"/>
      <c r="O171" s="1163"/>
      <c r="P171" s="1163"/>
      <c r="Q171" s="1163"/>
      <c r="R171" s="1163"/>
      <c r="S171" s="1163"/>
      <c r="T171" s="1163"/>
      <c r="U171" s="1163"/>
      <c r="V171" s="1163"/>
      <c r="W171" s="1163"/>
      <c r="X171" s="1163"/>
      <c r="Y171" s="1163"/>
      <c r="Z171" s="1163"/>
      <c r="AA171" s="1163"/>
      <c r="AB171" s="1163"/>
      <c r="AC171" s="1163"/>
      <c r="AD171" s="1163"/>
      <c r="AE171" s="1163"/>
      <c r="AF171" s="1163"/>
      <c r="AG171" s="1163"/>
      <c r="AH171" s="1163"/>
      <c r="AI171" s="1163"/>
      <c r="AJ171" s="1164"/>
      <c r="AK171" s="1164"/>
      <c r="AL171" s="1165"/>
    </row>
    <row r="172" spans="1:38" hidden="1" outlineLevel="2" x14ac:dyDescent="0.3">
      <c r="A172" s="1158"/>
      <c r="B172" s="1159"/>
      <c r="C172" s="1160"/>
      <c r="D172" s="1161"/>
      <c r="E172" s="1162"/>
      <c r="F172" s="1163"/>
      <c r="G172" s="1163"/>
      <c r="H172" s="1163"/>
      <c r="I172" s="1163"/>
      <c r="J172" s="1163"/>
      <c r="K172" s="1163"/>
      <c r="L172" s="1163"/>
      <c r="M172" s="1163"/>
      <c r="N172" s="1163"/>
      <c r="O172" s="1163"/>
      <c r="P172" s="1163"/>
      <c r="Q172" s="1163"/>
      <c r="R172" s="1163"/>
      <c r="S172" s="1163"/>
      <c r="T172" s="1163"/>
      <c r="U172" s="1163"/>
      <c r="V172" s="1163"/>
      <c r="W172" s="1163"/>
      <c r="X172" s="1163"/>
      <c r="Y172" s="1163"/>
      <c r="Z172" s="1163"/>
      <c r="AA172" s="1163"/>
      <c r="AB172" s="1163"/>
      <c r="AC172" s="1163"/>
      <c r="AD172" s="1163"/>
      <c r="AE172" s="1163"/>
      <c r="AF172" s="1163"/>
      <c r="AG172" s="1163"/>
      <c r="AH172" s="1163"/>
      <c r="AI172" s="1163"/>
      <c r="AJ172" s="1164"/>
      <c r="AK172" s="1164"/>
      <c r="AL172" s="1165"/>
    </row>
    <row r="173" spans="1:38" hidden="1" outlineLevel="2" x14ac:dyDescent="0.3">
      <c r="A173" s="1158"/>
      <c r="B173" s="1159"/>
      <c r="C173" s="1160"/>
      <c r="D173" s="1161"/>
      <c r="E173" s="1162"/>
      <c r="F173" s="1163"/>
      <c r="G173" s="1163"/>
      <c r="H173" s="1163"/>
      <c r="I173" s="1163"/>
      <c r="J173" s="1163"/>
      <c r="K173" s="1163"/>
      <c r="L173" s="1163"/>
      <c r="M173" s="1163"/>
      <c r="N173" s="1163"/>
      <c r="O173" s="1163"/>
      <c r="P173" s="1163"/>
      <c r="Q173" s="1163"/>
      <c r="R173" s="1163"/>
      <c r="S173" s="1163"/>
      <c r="T173" s="1163"/>
      <c r="U173" s="1163"/>
      <c r="V173" s="1163"/>
      <c r="W173" s="1163"/>
      <c r="X173" s="1163"/>
      <c r="Y173" s="1163"/>
      <c r="Z173" s="1163"/>
      <c r="AA173" s="1163"/>
      <c r="AB173" s="1163"/>
      <c r="AC173" s="1163"/>
      <c r="AD173" s="1163"/>
      <c r="AE173" s="1163"/>
      <c r="AF173" s="1163"/>
      <c r="AG173" s="1163"/>
      <c r="AH173" s="1163"/>
      <c r="AI173" s="1163"/>
      <c r="AJ173" s="1164"/>
      <c r="AK173" s="1164"/>
      <c r="AL173" s="1165"/>
    </row>
    <row r="174" spans="1:38" hidden="1" outlineLevel="2" x14ac:dyDescent="0.3">
      <c r="A174" s="1158"/>
      <c r="B174" s="1166"/>
      <c r="C174" s="1167"/>
      <c r="D174" s="1168"/>
      <c r="E174" s="1169"/>
      <c r="F174" s="1170"/>
      <c r="G174" s="1170"/>
      <c r="H174" s="1170"/>
      <c r="I174" s="1170"/>
      <c r="J174" s="1170"/>
      <c r="K174" s="1170"/>
      <c r="L174" s="1170"/>
      <c r="M174" s="1170"/>
      <c r="N174" s="1170"/>
      <c r="O174" s="1170"/>
      <c r="P174" s="1170"/>
      <c r="Q174" s="1170"/>
      <c r="R174" s="1170"/>
      <c r="S174" s="1170"/>
      <c r="T174" s="1170"/>
      <c r="U174" s="1170"/>
      <c r="V174" s="1170"/>
      <c r="W174" s="1170"/>
      <c r="X174" s="1170"/>
      <c r="Y174" s="1170"/>
      <c r="Z174" s="1170"/>
      <c r="AA174" s="1170"/>
      <c r="AB174" s="1170"/>
      <c r="AC174" s="1170"/>
      <c r="AD174" s="1170"/>
      <c r="AE174" s="1170"/>
      <c r="AF174" s="1170"/>
      <c r="AG174" s="1170"/>
      <c r="AH174" s="1170"/>
      <c r="AI174" s="1170"/>
      <c r="AJ174" s="1171"/>
      <c r="AK174" s="1171"/>
      <c r="AL174" s="1172"/>
    </row>
    <row r="175" spans="1:38" hidden="1" outlineLevel="2" x14ac:dyDescent="0.3">
      <c r="A175" s="1158"/>
      <c r="B175" s="1166"/>
      <c r="C175" s="1167"/>
      <c r="D175" s="1168"/>
      <c r="E175" s="1169"/>
      <c r="F175" s="1170"/>
      <c r="G175" s="1170"/>
      <c r="H175" s="1170"/>
      <c r="I175" s="1170"/>
      <c r="J175" s="1170"/>
      <c r="K175" s="1170"/>
      <c r="L175" s="1170"/>
      <c r="M175" s="1170"/>
      <c r="N175" s="1170"/>
      <c r="O175" s="1170"/>
      <c r="P175" s="1170"/>
      <c r="Q175" s="1170"/>
      <c r="R175" s="1170"/>
      <c r="S175" s="1170"/>
      <c r="T175" s="1170"/>
      <c r="U175" s="1170"/>
      <c r="V175" s="1170"/>
      <c r="W175" s="1170"/>
      <c r="X175" s="1170"/>
      <c r="Y175" s="1170"/>
      <c r="Z175" s="1170"/>
      <c r="AA175" s="1170"/>
      <c r="AB175" s="1170"/>
      <c r="AC175" s="1170"/>
      <c r="AD175" s="1170"/>
      <c r="AE175" s="1170"/>
      <c r="AF175" s="1170"/>
      <c r="AG175" s="1170"/>
      <c r="AH175" s="1170"/>
      <c r="AI175" s="1170"/>
      <c r="AJ175" s="1171"/>
      <c r="AK175" s="1171"/>
      <c r="AL175" s="1172"/>
    </row>
    <row r="176" spans="1:38" hidden="1" outlineLevel="2" x14ac:dyDescent="0.3">
      <c r="A176" s="1158"/>
      <c r="B176" s="1166"/>
      <c r="C176" s="1167"/>
      <c r="D176" s="1168"/>
      <c r="E176" s="1169"/>
      <c r="F176" s="1170"/>
      <c r="G176" s="1170"/>
      <c r="H176" s="1170"/>
      <c r="I176" s="1170"/>
      <c r="J176" s="1170"/>
      <c r="K176" s="1170"/>
      <c r="L176" s="1170"/>
      <c r="M176" s="1170"/>
      <c r="N176" s="1170"/>
      <c r="O176" s="1170"/>
      <c r="P176" s="1170"/>
      <c r="Q176" s="1170"/>
      <c r="R176" s="1170"/>
      <c r="S176" s="1170"/>
      <c r="T176" s="1170"/>
      <c r="U176" s="1170"/>
      <c r="V176" s="1170"/>
      <c r="W176" s="1170"/>
      <c r="X176" s="1170"/>
      <c r="Y176" s="1170"/>
      <c r="Z176" s="1170"/>
      <c r="AA176" s="1170"/>
      <c r="AB176" s="1170"/>
      <c r="AC176" s="1170"/>
      <c r="AD176" s="1170"/>
      <c r="AE176" s="1170"/>
      <c r="AF176" s="1170"/>
      <c r="AG176" s="1170"/>
      <c r="AH176" s="1170"/>
      <c r="AI176" s="1170"/>
      <c r="AJ176" s="1171"/>
      <c r="AK176" s="1171"/>
      <c r="AL176" s="1172"/>
    </row>
    <row r="177" spans="1:38" hidden="1" outlineLevel="2" x14ac:dyDescent="0.3">
      <c r="A177" s="1158"/>
      <c r="B177" s="1166"/>
      <c r="C177" s="1167"/>
      <c r="D177" s="1168"/>
      <c r="E177" s="1169"/>
      <c r="F177" s="1170"/>
      <c r="G177" s="1170"/>
      <c r="H177" s="1170"/>
      <c r="I177" s="1170"/>
      <c r="J177" s="1170"/>
      <c r="K177" s="1170"/>
      <c r="L177" s="1170"/>
      <c r="M177" s="1170"/>
      <c r="N177" s="1170"/>
      <c r="O177" s="1170"/>
      <c r="P177" s="1170"/>
      <c r="Q177" s="1170"/>
      <c r="R177" s="1170"/>
      <c r="S177" s="1170"/>
      <c r="T177" s="1170"/>
      <c r="U177" s="1170"/>
      <c r="V177" s="1170"/>
      <c r="W177" s="1170"/>
      <c r="X177" s="1170"/>
      <c r="Y177" s="1170"/>
      <c r="Z177" s="1170"/>
      <c r="AA177" s="1170"/>
      <c r="AB177" s="1170"/>
      <c r="AC177" s="1170"/>
      <c r="AD177" s="1170"/>
      <c r="AE177" s="1170"/>
      <c r="AF177" s="1170"/>
      <c r="AG177" s="1170"/>
      <c r="AH177" s="1170"/>
      <c r="AI177" s="1170"/>
      <c r="AJ177" s="1171"/>
      <c r="AK177" s="1171"/>
      <c r="AL177" s="1172"/>
    </row>
    <row r="178" spans="1:38" hidden="1" outlineLevel="2" x14ac:dyDescent="0.3">
      <c r="A178" s="1158"/>
      <c r="B178" s="1166"/>
      <c r="C178" s="1167"/>
      <c r="D178" s="1168"/>
      <c r="E178" s="1169"/>
      <c r="F178" s="1170"/>
      <c r="G178" s="1170"/>
      <c r="H178" s="1170"/>
      <c r="I178" s="1170"/>
      <c r="J178" s="1170"/>
      <c r="K178" s="1170"/>
      <c r="L178" s="1170"/>
      <c r="M178" s="1170"/>
      <c r="N178" s="1170"/>
      <c r="O178" s="1170"/>
      <c r="P178" s="1170"/>
      <c r="Q178" s="1170"/>
      <c r="R178" s="1170"/>
      <c r="S178" s="1170"/>
      <c r="T178" s="1170"/>
      <c r="U178" s="1170"/>
      <c r="V178" s="1170"/>
      <c r="W178" s="1170"/>
      <c r="X178" s="1170"/>
      <c r="Y178" s="1170"/>
      <c r="Z178" s="1170"/>
      <c r="AA178" s="1170"/>
      <c r="AB178" s="1170"/>
      <c r="AC178" s="1170"/>
      <c r="AD178" s="1170"/>
      <c r="AE178" s="1170"/>
      <c r="AF178" s="1170"/>
      <c r="AG178" s="1170"/>
      <c r="AH178" s="1170"/>
      <c r="AI178" s="1170"/>
      <c r="AJ178" s="1171"/>
      <c r="AK178" s="1171"/>
      <c r="AL178" s="1172"/>
    </row>
    <row r="179" spans="1:38" hidden="1" outlineLevel="2" x14ac:dyDescent="0.3">
      <c r="A179" s="1158"/>
      <c r="B179" s="1166"/>
      <c r="C179" s="1167"/>
      <c r="D179" s="1168"/>
      <c r="E179" s="1169"/>
      <c r="F179" s="1170"/>
      <c r="G179" s="1170"/>
      <c r="H179" s="1170"/>
      <c r="I179" s="1170"/>
      <c r="J179" s="1170"/>
      <c r="K179" s="1170"/>
      <c r="L179" s="1170"/>
      <c r="M179" s="1170"/>
      <c r="N179" s="1170"/>
      <c r="O179" s="1170"/>
      <c r="P179" s="1170"/>
      <c r="Q179" s="1170"/>
      <c r="R179" s="1170"/>
      <c r="S179" s="1170"/>
      <c r="T179" s="1170"/>
      <c r="U179" s="1170"/>
      <c r="V179" s="1170"/>
      <c r="W179" s="1170"/>
      <c r="X179" s="1170"/>
      <c r="Y179" s="1170"/>
      <c r="Z179" s="1170"/>
      <c r="AA179" s="1170"/>
      <c r="AB179" s="1170"/>
      <c r="AC179" s="1170"/>
      <c r="AD179" s="1170"/>
      <c r="AE179" s="1170"/>
      <c r="AF179" s="1170"/>
      <c r="AG179" s="1170"/>
      <c r="AH179" s="1170"/>
      <c r="AI179" s="1170"/>
      <c r="AJ179" s="1171"/>
      <c r="AK179" s="1171"/>
      <c r="AL179" s="1172"/>
    </row>
    <row r="180" spans="1:38" ht="15" outlineLevel="1" collapsed="1" thickBot="1" x14ac:dyDescent="0.35">
      <c r="A180" s="1158"/>
      <c r="B180" s="1173" t="s">
        <v>550</v>
      </c>
      <c r="C180" s="1174"/>
      <c r="D180" s="1175"/>
      <c r="E180" s="1176">
        <f>SUBTOTAL(9,E171:E173)</f>
        <v>0</v>
      </c>
      <c r="F180" s="1177"/>
      <c r="G180" s="1177">
        <f>SUBTOTAL(9,G171:G173)</f>
        <v>0</v>
      </c>
      <c r="H180" s="1177"/>
      <c r="I180" s="1177">
        <f>SUBTOTAL(9,I171:I173)</f>
        <v>0</v>
      </c>
      <c r="J180" s="1177"/>
      <c r="K180" s="1177">
        <f>SUBTOTAL(9,K171:K173)</f>
        <v>0</v>
      </c>
      <c r="L180" s="1177"/>
      <c r="M180" s="1177">
        <f>SUBTOTAL(9,M171:M173)</f>
        <v>0</v>
      </c>
      <c r="N180" s="1177"/>
      <c r="O180" s="1177">
        <f>SUBTOTAL(9,O171:O173)</f>
        <v>0</v>
      </c>
      <c r="P180" s="1177"/>
      <c r="Q180" s="1177">
        <f>SUBTOTAL(9,Q171:Q173)</f>
        <v>0</v>
      </c>
      <c r="R180" s="1177"/>
      <c r="S180" s="1177">
        <f>SUBTOTAL(9,S171:S173)</f>
        <v>0</v>
      </c>
      <c r="T180" s="1177"/>
      <c r="U180" s="1177">
        <f>SUBTOTAL(9,U171:U173)</f>
        <v>0</v>
      </c>
      <c r="V180" s="1177"/>
      <c r="W180" s="1177">
        <f>SUBTOTAL(9,W171:W173)</f>
        <v>0</v>
      </c>
      <c r="X180" s="1177"/>
      <c r="Y180" s="1177">
        <f>SUBTOTAL(9,Y171:Y173)</f>
        <v>0</v>
      </c>
      <c r="Z180" s="1177"/>
      <c r="AA180" s="1177">
        <f>SUBTOTAL(9,AA171:AA173)</f>
        <v>0</v>
      </c>
      <c r="AB180" s="1177"/>
      <c r="AC180" s="1177">
        <f>SUBTOTAL(9,AC171:AC173)</f>
        <v>0</v>
      </c>
      <c r="AD180" s="1177"/>
      <c r="AE180" s="1177">
        <f>SUBTOTAL(9,AE171:AE173)</f>
        <v>0</v>
      </c>
      <c r="AF180" s="1177"/>
      <c r="AG180" s="1177">
        <f>SUBTOTAL(9,AG171:AG173)</f>
        <v>0</v>
      </c>
      <c r="AH180" s="1177"/>
      <c r="AI180" s="1177">
        <f>SUBTOTAL(9,AI171:AI173)</f>
        <v>0</v>
      </c>
      <c r="AJ180" s="1178"/>
      <c r="AK180" s="1178"/>
      <c r="AL180" s="1179"/>
    </row>
    <row r="181" spans="1:38" ht="18" outlineLevel="1" x14ac:dyDescent="0.35">
      <c r="A181" s="1180" t="s">
        <v>1464</v>
      </c>
      <c r="B181" s="1181"/>
      <c r="C181" s="1182"/>
      <c r="D181" s="1183"/>
      <c r="E181" s="1184"/>
      <c r="F181" s="1185"/>
      <c r="G181" s="1185"/>
      <c r="H181" s="1185"/>
      <c r="I181" s="1185"/>
      <c r="J181" s="1185"/>
      <c r="K181" s="1185"/>
      <c r="L181" s="1185"/>
      <c r="M181" s="1185"/>
      <c r="N181" s="1185"/>
      <c r="O181" s="1185"/>
      <c r="P181" s="1185"/>
      <c r="Q181" s="1185"/>
      <c r="R181" s="1185"/>
      <c r="S181" s="1185"/>
      <c r="T181" s="1185"/>
      <c r="U181" s="1185"/>
      <c r="V181" s="1185"/>
      <c r="W181" s="1185"/>
      <c r="X181" s="1185"/>
      <c r="Y181" s="1185"/>
      <c r="Z181" s="1185"/>
      <c r="AA181" s="1185"/>
      <c r="AB181" s="1185"/>
      <c r="AC181" s="1185"/>
      <c r="AD181" s="1185"/>
      <c r="AE181" s="1185"/>
      <c r="AF181" s="1185"/>
      <c r="AG181" s="1185"/>
      <c r="AH181" s="1185"/>
      <c r="AI181" s="1185"/>
      <c r="AJ181" s="1186"/>
      <c r="AK181" s="1186"/>
      <c r="AL181" s="1187"/>
    </row>
    <row r="182" spans="1:38" hidden="1" outlineLevel="2" x14ac:dyDescent="0.3">
      <c r="A182" s="1188"/>
      <c r="B182" s="1189"/>
      <c r="C182" s="1190"/>
      <c r="D182" s="1191"/>
      <c r="E182" s="1192"/>
      <c r="F182" s="1193"/>
      <c r="G182" s="1193"/>
      <c r="H182" s="1193"/>
      <c r="I182" s="1193"/>
      <c r="J182" s="1193"/>
      <c r="K182" s="1193"/>
      <c r="L182" s="1193"/>
      <c r="M182" s="1193"/>
      <c r="N182" s="1193"/>
      <c r="O182" s="1193"/>
      <c r="P182" s="1193"/>
      <c r="Q182" s="1193"/>
      <c r="R182" s="1193"/>
      <c r="S182" s="1193"/>
      <c r="T182" s="1193"/>
      <c r="U182" s="1193"/>
      <c r="V182" s="1193"/>
      <c r="W182" s="1193"/>
      <c r="X182" s="1193"/>
      <c r="Y182" s="1193"/>
      <c r="Z182" s="1193"/>
      <c r="AA182" s="1193"/>
      <c r="AB182" s="1193"/>
      <c r="AC182" s="1193"/>
      <c r="AD182" s="1193"/>
      <c r="AE182" s="1193"/>
      <c r="AF182" s="1193"/>
      <c r="AG182" s="1193"/>
      <c r="AH182" s="1193"/>
      <c r="AI182" s="1193"/>
      <c r="AJ182" s="1194"/>
      <c r="AK182" s="1194"/>
      <c r="AL182" s="1195"/>
    </row>
    <row r="183" spans="1:38" hidden="1" outlineLevel="2" x14ac:dyDescent="0.3">
      <c r="A183" s="1188"/>
      <c r="B183" s="1189"/>
      <c r="C183" s="1190"/>
      <c r="D183" s="1191"/>
      <c r="E183" s="1192"/>
      <c r="F183" s="1193"/>
      <c r="G183" s="1193"/>
      <c r="H183" s="1193"/>
      <c r="I183" s="1193"/>
      <c r="J183" s="1193"/>
      <c r="K183" s="1193"/>
      <c r="L183" s="1193"/>
      <c r="M183" s="1193"/>
      <c r="N183" s="1193"/>
      <c r="O183" s="1193"/>
      <c r="P183" s="1193"/>
      <c r="Q183" s="1193"/>
      <c r="R183" s="1193"/>
      <c r="S183" s="1193"/>
      <c r="T183" s="1193"/>
      <c r="U183" s="1193"/>
      <c r="V183" s="1193"/>
      <c r="W183" s="1193"/>
      <c r="X183" s="1193"/>
      <c r="Y183" s="1193"/>
      <c r="Z183" s="1193"/>
      <c r="AA183" s="1193"/>
      <c r="AB183" s="1193"/>
      <c r="AC183" s="1193"/>
      <c r="AD183" s="1193"/>
      <c r="AE183" s="1193"/>
      <c r="AF183" s="1193"/>
      <c r="AG183" s="1193"/>
      <c r="AH183" s="1193"/>
      <c r="AI183" s="1193"/>
      <c r="AJ183" s="1194"/>
      <c r="AK183" s="1194"/>
      <c r="AL183" s="1195"/>
    </row>
    <row r="184" spans="1:38" hidden="1" outlineLevel="2" x14ac:dyDescent="0.3">
      <c r="A184" s="1188"/>
      <c r="B184" s="1196"/>
      <c r="C184" s="1197"/>
      <c r="D184" s="1198"/>
      <c r="E184" s="1199"/>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c r="AA184" s="1200"/>
      <c r="AB184" s="1200"/>
      <c r="AC184" s="1200"/>
      <c r="AD184" s="1200"/>
      <c r="AE184" s="1200"/>
      <c r="AF184" s="1200"/>
      <c r="AG184" s="1200"/>
      <c r="AH184" s="1200"/>
      <c r="AI184" s="1200"/>
      <c r="AJ184" s="1201"/>
      <c r="AK184" s="1201"/>
      <c r="AL184" s="1202"/>
    </row>
    <row r="185" spans="1:38" hidden="1" outlineLevel="2" x14ac:dyDescent="0.3">
      <c r="A185" s="1188"/>
      <c r="B185" s="1196"/>
      <c r="C185" s="1197"/>
      <c r="D185" s="1198"/>
      <c r="E185" s="1199"/>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c r="AA185" s="1200"/>
      <c r="AB185" s="1200"/>
      <c r="AC185" s="1200"/>
      <c r="AD185" s="1200"/>
      <c r="AE185" s="1200"/>
      <c r="AF185" s="1200"/>
      <c r="AG185" s="1200"/>
      <c r="AH185" s="1200"/>
      <c r="AI185" s="1200"/>
      <c r="AJ185" s="1201"/>
      <c r="AK185" s="1201"/>
      <c r="AL185" s="1202"/>
    </row>
    <row r="186" spans="1:38" hidden="1" outlineLevel="2" x14ac:dyDescent="0.3">
      <c r="A186" s="1188"/>
      <c r="B186" s="1196"/>
      <c r="C186" s="1197"/>
      <c r="D186" s="1198"/>
      <c r="E186" s="1199"/>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c r="AA186" s="1200"/>
      <c r="AB186" s="1200"/>
      <c r="AC186" s="1200"/>
      <c r="AD186" s="1200"/>
      <c r="AE186" s="1200"/>
      <c r="AF186" s="1200"/>
      <c r="AG186" s="1200"/>
      <c r="AH186" s="1200"/>
      <c r="AI186" s="1200"/>
      <c r="AJ186" s="1201"/>
      <c r="AK186" s="1201"/>
      <c r="AL186" s="1202"/>
    </row>
    <row r="187" spans="1:38" hidden="1" outlineLevel="2" x14ac:dyDescent="0.3">
      <c r="A187" s="1188"/>
      <c r="B187" s="1196"/>
      <c r="C187" s="1197"/>
      <c r="D187" s="1198"/>
      <c r="E187" s="1199"/>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c r="AA187" s="1200"/>
      <c r="AB187" s="1200"/>
      <c r="AC187" s="1200"/>
      <c r="AD187" s="1200"/>
      <c r="AE187" s="1200"/>
      <c r="AF187" s="1200"/>
      <c r="AG187" s="1200"/>
      <c r="AH187" s="1200"/>
      <c r="AI187" s="1200"/>
      <c r="AJ187" s="1201"/>
      <c r="AK187" s="1201"/>
      <c r="AL187" s="1202"/>
    </row>
    <row r="188" spans="1:38" hidden="1" outlineLevel="2" x14ac:dyDescent="0.3">
      <c r="A188" s="1188"/>
      <c r="B188" s="1196"/>
      <c r="C188" s="1197"/>
      <c r="D188" s="1198"/>
      <c r="E188" s="1199"/>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c r="AA188" s="1200"/>
      <c r="AB188" s="1200"/>
      <c r="AC188" s="1200"/>
      <c r="AD188" s="1200"/>
      <c r="AE188" s="1200"/>
      <c r="AF188" s="1200"/>
      <c r="AG188" s="1200"/>
      <c r="AH188" s="1200"/>
      <c r="AI188" s="1200"/>
      <c r="AJ188" s="1201"/>
      <c r="AK188" s="1201"/>
      <c r="AL188" s="1202"/>
    </row>
    <row r="189" spans="1:38" ht="15" outlineLevel="1" collapsed="1" thickBot="1" x14ac:dyDescent="0.35">
      <c r="A189" s="1188"/>
      <c r="B189" s="1203" t="s">
        <v>550</v>
      </c>
      <c r="C189" s="1204"/>
      <c r="D189" s="1205"/>
      <c r="E189" s="1206">
        <f>SUBTOTAL(9,E181:E183)</f>
        <v>0</v>
      </c>
      <c r="F189" s="1207"/>
      <c r="G189" s="1207">
        <f>SUBTOTAL(9,G181:G183)</f>
        <v>0</v>
      </c>
      <c r="H189" s="1207"/>
      <c r="I189" s="1207">
        <f>SUBTOTAL(9,I181:I183)</f>
        <v>0</v>
      </c>
      <c r="J189" s="1207"/>
      <c r="K189" s="1207">
        <f>SUBTOTAL(9,K181:K183)</f>
        <v>0</v>
      </c>
      <c r="L189" s="1207"/>
      <c r="M189" s="1207">
        <f>SUBTOTAL(9,M181:M183)</f>
        <v>0</v>
      </c>
      <c r="N189" s="1207"/>
      <c r="O189" s="1207">
        <f>SUBTOTAL(9,O181:O183)</f>
        <v>0</v>
      </c>
      <c r="P189" s="1207"/>
      <c r="Q189" s="1207">
        <f>SUBTOTAL(9,Q181:Q183)</f>
        <v>0</v>
      </c>
      <c r="R189" s="1207"/>
      <c r="S189" s="1207">
        <f>SUBTOTAL(9,S181:S183)</f>
        <v>0</v>
      </c>
      <c r="T189" s="1207"/>
      <c r="U189" s="1207">
        <f>SUBTOTAL(9,U181:U183)</f>
        <v>0</v>
      </c>
      <c r="V189" s="1207"/>
      <c r="W189" s="1207">
        <f>SUBTOTAL(9,W181:W183)</f>
        <v>0</v>
      </c>
      <c r="X189" s="1207"/>
      <c r="Y189" s="1207">
        <f>SUBTOTAL(9,Y181:Y183)</f>
        <v>0</v>
      </c>
      <c r="Z189" s="1207"/>
      <c r="AA189" s="1207">
        <f>SUBTOTAL(9,AA181:AA183)</f>
        <v>0</v>
      </c>
      <c r="AB189" s="1207"/>
      <c r="AC189" s="1207">
        <f>SUBTOTAL(9,AC181:AC183)</f>
        <v>0</v>
      </c>
      <c r="AD189" s="1207"/>
      <c r="AE189" s="1207">
        <f>SUBTOTAL(9,AE181:AE183)</f>
        <v>0</v>
      </c>
      <c r="AF189" s="1207"/>
      <c r="AG189" s="1207">
        <f>SUBTOTAL(9,AG181:AG183)</f>
        <v>0</v>
      </c>
      <c r="AH189" s="1207"/>
      <c r="AI189" s="1207">
        <f>SUBTOTAL(9,AI181:AI183)</f>
        <v>0</v>
      </c>
      <c r="AJ189" s="1208"/>
      <c r="AK189" s="1208"/>
      <c r="AL189" s="1209"/>
    </row>
    <row r="190" spans="1:38" x14ac:dyDescent="0.3">
      <c r="A190" s="98"/>
      <c r="B190" s="660"/>
      <c r="C190" s="660"/>
      <c r="D190" s="660"/>
      <c r="E190" s="941">
        <f>SUM(E189,E180,E169)</f>
        <v>0</v>
      </c>
      <c r="F190" s="941"/>
      <c r="G190" s="941">
        <f>SUM(G189,G180,G169)</f>
        <v>0</v>
      </c>
      <c r="H190" s="941"/>
      <c r="I190" s="941">
        <f>SUM(I189,I180,I169)</f>
        <v>0</v>
      </c>
      <c r="J190" s="941"/>
      <c r="K190" s="941">
        <v>9600</v>
      </c>
      <c r="L190" s="941"/>
      <c r="M190" s="941">
        <f>SUM(M189,M180,M169)</f>
        <v>0</v>
      </c>
      <c r="N190" s="941"/>
      <c r="O190" s="941">
        <f>SUM(O189,O180,O169)</f>
        <v>0</v>
      </c>
      <c r="P190" s="941"/>
      <c r="Q190" s="941">
        <f>SUM(Q189,Q180,Q169)</f>
        <v>0</v>
      </c>
      <c r="R190" s="941"/>
      <c r="S190" s="941">
        <f>SUM(S189,S180,S169)</f>
        <v>0</v>
      </c>
      <c r="T190" s="941"/>
      <c r="U190" s="941">
        <f>SUM(U189,U180,U169)</f>
        <v>0</v>
      </c>
      <c r="V190" s="941"/>
      <c r="W190" s="941">
        <f>SUM(W189,W180,W169)</f>
        <v>0</v>
      </c>
      <c r="X190" s="941"/>
      <c r="Y190" s="941">
        <f>SUM(Y189,Y180,Y169)</f>
        <v>0</v>
      </c>
      <c r="Z190" s="941"/>
      <c r="AA190" s="941">
        <f>SUM(AA189,AA180,AA169)</f>
        <v>0</v>
      </c>
      <c r="AB190" s="941"/>
      <c r="AC190" s="941">
        <f>SUM(AC189,AC180,AC169)</f>
        <v>0</v>
      </c>
      <c r="AD190" s="941"/>
      <c r="AE190" s="941">
        <f>SUM(AE189,AE180,AE169)</f>
        <v>0</v>
      </c>
      <c r="AF190" s="941"/>
      <c r="AG190" s="941">
        <f>SUM(AG189,AG180,AG169)</f>
        <v>0</v>
      </c>
      <c r="AH190" s="941"/>
      <c r="AI190" s="941">
        <f>SUM(AI189,AI180,AI169)</f>
        <v>0</v>
      </c>
      <c r="AJ190" s="941"/>
      <c r="AK190" s="941"/>
      <c r="AL190" s="941">
        <f>SUM(K190:AI190)-SUM(E190:I190)</f>
        <v>9600</v>
      </c>
    </row>
    <row r="191" spans="1:38" ht="15.6" x14ac:dyDescent="0.3">
      <c r="B191" s="76"/>
      <c r="C191" s="76"/>
      <c r="D191" s="79"/>
      <c r="E191" s="1112"/>
      <c r="F191" s="1112"/>
      <c r="G191" s="660"/>
      <c r="H191" s="1112"/>
      <c r="I191" s="660"/>
      <c r="J191" s="1112"/>
      <c r="K191" s="660"/>
      <c r="L191" s="1112"/>
      <c r="M191" s="660"/>
      <c r="N191" s="1112"/>
      <c r="O191" s="660"/>
      <c r="P191" s="1112"/>
      <c r="Q191" s="660"/>
      <c r="R191" s="1112"/>
      <c r="S191" s="660"/>
      <c r="T191" s="1112"/>
      <c r="U191" s="660"/>
      <c r="V191" s="1112"/>
      <c r="W191" s="660"/>
      <c r="X191" s="1112"/>
      <c r="Y191" s="660"/>
      <c r="Z191" s="1112"/>
      <c r="AA191" s="660"/>
      <c r="AB191" s="1112"/>
      <c r="AC191" s="660"/>
      <c r="AD191" s="1112"/>
      <c r="AE191" s="660"/>
      <c r="AF191" s="1112"/>
      <c r="AG191" s="660"/>
      <c r="AH191" s="1112"/>
      <c r="AI191" s="660"/>
      <c r="AJ191" s="660"/>
      <c r="AK191" s="1108"/>
      <c r="AL191" s="1106"/>
    </row>
    <row r="192" spans="1:38" ht="18" x14ac:dyDescent="0.3">
      <c r="A192" s="1110" t="s">
        <v>1468</v>
      </c>
      <c r="B192" s="1111"/>
      <c r="C192" s="1111"/>
      <c r="D192" s="1111"/>
      <c r="E192" s="1112"/>
      <c r="F192" s="1112"/>
      <c r="G192" s="660"/>
      <c r="H192" s="660"/>
      <c r="I192" s="660"/>
      <c r="J192" s="660"/>
      <c r="K192" s="660"/>
      <c r="L192" s="660"/>
      <c r="M192" s="660"/>
      <c r="N192" s="660"/>
      <c r="O192" s="660"/>
      <c r="P192" s="660"/>
      <c r="Q192" s="660"/>
      <c r="R192" s="660"/>
      <c r="S192" s="660"/>
      <c r="T192" s="660"/>
      <c r="U192" s="660"/>
      <c r="V192" s="660"/>
      <c r="W192" s="660"/>
      <c r="X192" s="660"/>
      <c r="Y192" s="660"/>
      <c r="Z192" s="660"/>
      <c r="AA192" s="660"/>
      <c r="AB192" s="660"/>
      <c r="AC192" s="660"/>
      <c r="AD192" s="660"/>
      <c r="AE192" s="660"/>
      <c r="AF192" s="660"/>
      <c r="AG192" s="660"/>
      <c r="AH192" s="660"/>
      <c r="AI192" s="660"/>
      <c r="AJ192" s="660"/>
      <c r="AK192" s="660"/>
    </row>
    <row r="193" spans="1:38" ht="15" thickBot="1" x14ac:dyDescent="0.35">
      <c r="A193" s="39"/>
      <c r="B193" s="1113"/>
      <c r="C193" s="1113"/>
      <c r="D193" s="1114" t="s">
        <v>1407</v>
      </c>
      <c r="E193" s="1115" t="s">
        <v>69</v>
      </c>
      <c r="F193" s="1116" t="s">
        <v>8</v>
      </c>
      <c r="G193" s="1115" t="s">
        <v>83</v>
      </c>
      <c r="H193" s="1116" t="s">
        <v>8</v>
      </c>
      <c r="I193" s="1115" t="s">
        <v>90</v>
      </c>
      <c r="J193" s="1116" t="s">
        <v>8</v>
      </c>
      <c r="K193" s="1117" t="s">
        <v>134</v>
      </c>
      <c r="L193" s="1118" t="s">
        <v>8</v>
      </c>
      <c r="M193" s="1117" t="s">
        <v>136</v>
      </c>
      <c r="N193" s="1118" t="s">
        <v>8</v>
      </c>
      <c r="O193" s="1117" t="s">
        <v>728</v>
      </c>
      <c r="P193" s="1118" t="s">
        <v>8</v>
      </c>
      <c r="Q193" s="1117" t="s">
        <v>266</v>
      </c>
      <c r="R193" s="1118" t="s">
        <v>8</v>
      </c>
      <c r="S193" s="1117" t="s">
        <v>292</v>
      </c>
      <c r="T193" s="1118" t="s">
        <v>8</v>
      </c>
      <c r="U193" s="1117" t="s">
        <v>335</v>
      </c>
      <c r="V193" s="1118" t="s">
        <v>8</v>
      </c>
      <c r="W193" s="1117" t="s">
        <v>346</v>
      </c>
      <c r="X193" s="1118" t="s">
        <v>8</v>
      </c>
      <c r="Y193" s="1117" t="s">
        <v>357</v>
      </c>
      <c r="Z193" s="1118" t="s">
        <v>8</v>
      </c>
      <c r="AA193" s="1117" t="s">
        <v>364</v>
      </c>
      <c r="AB193" s="1118" t="s">
        <v>8</v>
      </c>
      <c r="AC193" s="1117" t="s">
        <v>376</v>
      </c>
      <c r="AD193" s="1118" t="s">
        <v>8</v>
      </c>
      <c r="AE193" s="1117" t="s">
        <v>386</v>
      </c>
      <c r="AF193" s="1118" t="s">
        <v>8</v>
      </c>
      <c r="AG193" s="1117" t="s">
        <v>398</v>
      </c>
      <c r="AH193" s="1118" t="s">
        <v>8</v>
      </c>
      <c r="AI193" s="1117" t="s">
        <v>424</v>
      </c>
      <c r="AJ193" s="1119" t="s">
        <v>8</v>
      </c>
      <c r="AK193" s="1120" t="s">
        <v>1404</v>
      </c>
      <c r="AL193" s="1121" t="s">
        <v>1405</v>
      </c>
    </row>
    <row r="194" spans="1:38" s="39" customFormat="1" ht="21" customHeight="1" outlineLevel="1" x14ac:dyDescent="0.35">
      <c r="A194" s="1122" t="s">
        <v>1223</v>
      </c>
      <c r="B194" s="1123" t="s">
        <v>625</v>
      </c>
      <c r="C194" s="1124" t="s">
        <v>1408</v>
      </c>
      <c r="D194" s="1125" t="s">
        <v>1409</v>
      </c>
      <c r="E194" s="1126"/>
      <c r="F194" s="1127"/>
      <c r="G194" s="1127"/>
      <c r="H194" s="1127"/>
      <c r="I194" s="1127"/>
      <c r="J194" s="1127"/>
      <c r="K194" s="1127"/>
      <c r="L194" s="1127"/>
      <c r="M194" s="1127"/>
      <c r="N194" s="1127"/>
      <c r="O194" s="1127"/>
      <c r="P194" s="1127"/>
      <c r="Q194" s="1127"/>
      <c r="R194" s="1127"/>
      <c r="S194" s="1127"/>
      <c r="T194" s="1127"/>
      <c r="U194" s="1127"/>
      <c r="V194" s="1127"/>
      <c r="W194" s="1127"/>
      <c r="X194" s="1127"/>
      <c r="Y194" s="1127"/>
      <c r="Z194" s="1127"/>
      <c r="AA194" s="1127"/>
      <c r="AB194" s="1127"/>
      <c r="AC194" s="1127"/>
      <c r="AD194" s="1127"/>
      <c r="AE194" s="1127"/>
      <c r="AF194" s="1127"/>
      <c r="AG194" s="1127"/>
      <c r="AH194" s="1127"/>
      <c r="AI194" s="1127"/>
      <c r="AJ194" s="1128"/>
      <c r="AK194" s="1128"/>
      <c r="AL194" s="1129"/>
    </row>
    <row r="195" spans="1:38" hidden="1" outlineLevel="2" x14ac:dyDescent="0.3">
      <c r="A195" s="1130"/>
      <c r="B195" s="1131"/>
      <c r="C195" s="1132"/>
      <c r="D195" s="1133"/>
      <c r="E195" s="1134"/>
      <c r="F195" s="1135"/>
      <c r="G195" s="1135"/>
      <c r="H195" s="1135"/>
      <c r="I195" s="1135"/>
      <c r="J195" s="1135"/>
      <c r="K195" s="1135"/>
      <c r="L195" s="1135"/>
      <c r="M195" s="1135"/>
      <c r="N195" s="1135"/>
      <c r="O195" s="1135"/>
      <c r="P195" s="1135"/>
      <c r="Q195" s="1135"/>
      <c r="R195" s="1135"/>
      <c r="S195" s="1135"/>
      <c r="T195" s="1135"/>
      <c r="U195" s="1135"/>
      <c r="V195" s="1135"/>
      <c r="W195" s="1135"/>
      <c r="X195" s="1135"/>
      <c r="Y195" s="1135"/>
      <c r="Z195" s="1135"/>
      <c r="AA195" s="1135"/>
      <c r="AB195" s="1135"/>
      <c r="AC195" s="1135"/>
      <c r="AD195" s="1135"/>
      <c r="AE195" s="1135"/>
      <c r="AF195" s="1135"/>
      <c r="AG195" s="1135"/>
      <c r="AH195" s="1135"/>
      <c r="AI195" s="1135"/>
      <c r="AJ195" s="1136"/>
      <c r="AK195" s="1136"/>
      <c r="AL195" s="1137"/>
    </row>
    <row r="196" spans="1:38" ht="42" hidden="1" customHeight="1" outlineLevel="2" x14ac:dyDescent="0.3">
      <c r="A196" s="1130"/>
      <c r="B196" s="1131"/>
      <c r="C196" s="1132"/>
      <c r="D196" s="1133"/>
      <c r="E196" s="1134"/>
      <c r="F196" s="1135"/>
      <c r="G196" s="1135"/>
      <c r="H196" s="1135"/>
      <c r="I196" s="1135"/>
      <c r="J196" s="1135"/>
      <c r="K196" s="1135"/>
      <c r="L196" s="1135"/>
      <c r="M196" s="1135"/>
      <c r="N196" s="1135"/>
      <c r="O196" s="1135"/>
      <c r="P196" s="1135"/>
      <c r="Q196" s="1135"/>
      <c r="R196" s="1135"/>
      <c r="S196" s="1135"/>
      <c r="T196" s="1135"/>
      <c r="U196" s="1135"/>
      <c r="V196" s="1135"/>
      <c r="W196" s="1135"/>
      <c r="X196" s="1135"/>
      <c r="Y196" s="1135"/>
      <c r="Z196" s="1135"/>
      <c r="AA196" s="1135"/>
      <c r="AB196" s="1135"/>
      <c r="AC196" s="1135"/>
      <c r="AD196" s="1135"/>
      <c r="AE196" s="1135"/>
      <c r="AF196" s="1135"/>
      <c r="AG196" s="1135"/>
      <c r="AH196" s="1135"/>
      <c r="AI196" s="1135"/>
      <c r="AJ196" s="1136"/>
      <c r="AK196" s="1137">
        <f t="shared" ref="AK196:AL227" si="12">SUM(E196,G196,I196)-SUM(K196,M196,O196,Q196,S196,U196,W196,Y196,AA196,AC196,AE196,AG196,AI196)</f>
        <v>0</v>
      </c>
      <c r="AL196" s="1137">
        <f t="shared" si="12"/>
        <v>0</v>
      </c>
    </row>
    <row r="197" spans="1:38" hidden="1" outlineLevel="2" x14ac:dyDescent="0.3">
      <c r="A197" s="1130"/>
      <c r="B197" s="1131"/>
      <c r="C197" s="1132"/>
      <c r="D197" s="1133"/>
      <c r="E197" s="1134"/>
      <c r="F197" s="1135"/>
      <c r="G197" s="1135"/>
      <c r="H197" s="1135"/>
      <c r="I197" s="1135"/>
      <c r="J197" s="1135"/>
      <c r="K197" s="1135"/>
      <c r="L197" s="1135"/>
      <c r="M197" s="1135"/>
      <c r="N197" s="1135"/>
      <c r="O197" s="1135"/>
      <c r="P197" s="1135"/>
      <c r="Q197" s="1135"/>
      <c r="R197" s="1135"/>
      <c r="S197" s="1135"/>
      <c r="T197" s="1135"/>
      <c r="U197" s="1135"/>
      <c r="V197" s="1135"/>
      <c r="W197" s="1135"/>
      <c r="X197" s="1135"/>
      <c r="Y197" s="1135"/>
      <c r="Z197" s="1135"/>
      <c r="AA197" s="1135"/>
      <c r="AB197" s="1135"/>
      <c r="AC197" s="1135"/>
      <c r="AD197" s="1135"/>
      <c r="AE197" s="1135"/>
      <c r="AF197" s="1135"/>
      <c r="AG197" s="1135"/>
      <c r="AH197" s="1135"/>
      <c r="AI197" s="1135"/>
      <c r="AJ197" s="1136"/>
      <c r="AK197" s="1137">
        <f t="shared" si="12"/>
        <v>0</v>
      </c>
      <c r="AL197" s="1137">
        <f t="shared" si="12"/>
        <v>0</v>
      </c>
    </row>
    <row r="198" spans="1:38" hidden="1" outlineLevel="2" x14ac:dyDescent="0.3">
      <c r="A198" s="1130"/>
      <c r="B198" s="1138"/>
      <c r="C198" s="1139"/>
      <c r="D198" s="1140"/>
      <c r="E198" s="1134"/>
      <c r="F198" s="1141"/>
      <c r="G198" s="1141"/>
      <c r="H198" s="1141"/>
      <c r="I198" s="1141"/>
      <c r="J198" s="1141"/>
      <c r="K198" s="1135"/>
      <c r="L198" s="1141"/>
      <c r="M198" s="1141"/>
      <c r="N198" s="1141"/>
      <c r="O198" s="1141"/>
      <c r="P198" s="1141"/>
      <c r="Q198" s="1141"/>
      <c r="R198" s="1141"/>
      <c r="S198" s="1141"/>
      <c r="T198" s="1141"/>
      <c r="U198" s="1135"/>
      <c r="V198" s="1141"/>
      <c r="W198" s="1141"/>
      <c r="X198" s="1141"/>
      <c r="Y198" s="1141"/>
      <c r="Z198" s="1141"/>
      <c r="AA198" s="1141"/>
      <c r="AB198" s="1141"/>
      <c r="AC198" s="1141"/>
      <c r="AD198" s="1141"/>
      <c r="AE198" s="1135"/>
      <c r="AF198" s="1141"/>
      <c r="AG198" s="1135"/>
      <c r="AH198" s="1141"/>
      <c r="AI198" s="1141"/>
      <c r="AJ198" s="1142"/>
      <c r="AK198" s="1137">
        <f t="shared" si="12"/>
        <v>0</v>
      </c>
      <c r="AL198" s="1137">
        <f t="shared" si="12"/>
        <v>0</v>
      </c>
    </row>
    <row r="199" spans="1:38" hidden="1" outlineLevel="2" x14ac:dyDescent="0.3">
      <c r="A199" s="1130"/>
      <c r="B199" s="1138"/>
      <c r="C199" s="1139"/>
      <c r="D199" s="1140"/>
      <c r="E199" s="1134"/>
      <c r="F199" s="1141"/>
      <c r="G199" s="1141"/>
      <c r="H199" s="1141"/>
      <c r="I199" s="1141"/>
      <c r="J199" s="1141"/>
      <c r="K199" s="1135"/>
      <c r="L199" s="1141"/>
      <c r="M199" s="1141"/>
      <c r="N199" s="1141"/>
      <c r="O199" s="1141"/>
      <c r="P199" s="1141"/>
      <c r="Q199" s="1141"/>
      <c r="R199" s="1141"/>
      <c r="S199" s="1141"/>
      <c r="T199" s="1141"/>
      <c r="U199" s="1135"/>
      <c r="V199" s="1141"/>
      <c r="W199" s="1141"/>
      <c r="X199" s="1141"/>
      <c r="Y199" s="1141"/>
      <c r="Z199" s="1141"/>
      <c r="AA199" s="1141"/>
      <c r="AB199" s="1141"/>
      <c r="AC199" s="1141"/>
      <c r="AD199" s="1141"/>
      <c r="AE199" s="1135"/>
      <c r="AF199" s="1141"/>
      <c r="AG199" s="1135"/>
      <c r="AH199" s="1141"/>
      <c r="AI199" s="1141"/>
      <c r="AJ199" s="1142"/>
      <c r="AK199" s="1137">
        <f t="shared" si="12"/>
        <v>0</v>
      </c>
      <c r="AL199" s="1137">
        <f t="shared" si="12"/>
        <v>0</v>
      </c>
    </row>
    <row r="200" spans="1:38" hidden="1" outlineLevel="2" x14ac:dyDescent="0.3">
      <c r="A200" s="1130"/>
      <c r="B200" s="1138"/>
      <c r="C200" s="1139"/>
      <c r="D200" s="1140"/>
      <c r="E200" s="1134"/>
      <c r="F200" s="1141"/>
      <c r="G200" s="1141"/>
      <c r="H200" s="1141"/>
      <c r="I200" s="1141"/>
      <c r="J200" s="1141"/>
      <c r="K200" s="1135"/>
      <c r="L200" s="1141"/>
      <c r="M200" s="1141"/>
      <c r="N200" s="1141"/>
      <c r="O200" s="1141"/>
      <c r="P200" s="1141"/>
      <c r="Q200" s="1141"/>
      <c r="R200" s="1141"/>
      <c r="S200" s="1141"/>
      <c r="T200" s="1141"/>
      <c r="U200" s="1135"/>
      <c r="V200" s="1141"/>
      <c r="W200" s="1141"/>
      <c r="X200" s="1141"/>
      <c r="Y200" s="1141"/>
      <c r="Z200" s="1141"/>
      <c r="AA200" s="1141"/>
      <c r="AB200" s="1141"/>
      <c r="AC200" s="1141"/>
      <c r="AD200" s="1141"/>
      <c r="AE200" s="1135"/>
      <c r="AF200" s="1141"/>
      <c r="AG200" s="1135"/>
      <c r="AH200" s="1141"/>
      <c r="AI200" s="1141"/>
      <c r="AJ200" s="1142"/>
      <c r="AK200" s="1137">
        <f t="shared" si="12"/>
        <v>0</v>
      </c>
      <c r="AL200" s="1137">
        <f t="shared" si="12"/>
        <v>0</v>
      </c>
    </row>
    <row r="201" spans="1:38" hidden="1" outlineLevel="2" x14ac:dyDescent="0.3">
      <c r="A201" s="1130"/>
      <c r="B201" s="1138"/>
      <c r="C201" s="1139"/>
      <c r="D201" s="1140"/>
      <c r="E201" s="1134"/>
      <c r="F201" s="1141"/>
      <c r="G201" s="1141"/>
      <c r="H201" s="1141"/>
      <c r="I201" s="1141"/>
      <c r="J201" s="1141"/>
      <c r="K201" s="1135"/>
      <c r="L201" s="1141"/>
      <c r="M201" s="1141"/>
      <c r="N201" s="1141"/>
      <c r="O201" s="1141"/>
      <c r="P201" s="1141"/>
      <c r="Q201" s="1141"/>
      <c r="R201" s="1141"/>
      <c r="S201" s="1141"/>
      <c r="T201" s="1141"/>
      <c r="U201" s="1135"/>
      <c r="V201" s="1141"/>
      <c r="W201" s="1141"/>
      <c r="X201" s="1141"/>
      <c r="Y201" s="1141"/>
      <c r="Z201" s="1141"/>
      <c r="AA201" s="1141"/>
      <c r="AB201" s="1141"/>
      <c r="AC201" s="1141"/>
      <c r="AD201" s="1141"/>
      <c r="AE201" s="1135"/>
      <c r="AF201" s="1141"/>
      <c r="AG201" s="1135"/>
      <c r="AH201" s="1141"/>
      <c r="AI201" s="1141"/>
      <c r="AJ201" s="1142"/>
      <c r="AK201" s="1137">
        <f t="shared" si="12"/>
        <v>0</v>
      </c>
      <c r="AL201" s="1137">
        <f t="shared" si="12"/>
        <v>0</v>
      </c>
    </row>
    <row r="202" spans="1:38" hidden="1" outlineLevel="2" x14ac:dyDescent="0.3">
      <c r="A202" s="1130"/>
      <c r="B202" s="1138"/>
      <c r="C202" s="1139"/>
      <c r="D202" s="1140"/>
      <c r="E202" s="1134"/>
      <c r="F202" s="1141"/>
      <c r="G202" s="1141"/>
      <c r="H202" s="1141"/>
      <c r="I202" s="1141"/>
      <c r="J202" s="1141"/>
      <c r="K202" s="1135"/>
      <c r="L202" s="1141"/>
      <c r="M202" s="1141"/>
      <c r="N202" s="1141"/>
      <c r="O202" s="1141"/>
      <c r="P202" s="1141"/>
      <c r="Q202" s="1141"/>
      <c r="R202" s="1141"/>
      <c r="S202" s="1141"/>
      <c r="T202" s="1141"/>
      <c r="U202" s="1135"/>
      <c r="V202" s="1141"/>
      <c r="W202" s="1141"/>
      <c r="X202" s="1141"/>
      <c r="Y202" s="1141"/>
      <c r="Z202" s="1141"/>
      <c r="AA202" s="1141"/>
      <c r="AB202" s="1141"/>
      <c r="AC202" s="1141"/>
      <c r="AD202" s="1141"/>
      <c r="AE202" s="1135"/>
      <c r="AF202" s="1141"/>
      <c r="AG202" s="1135"/>
      <c r="AH202" s="1141"/>
      <c r="AI202" s="1141"/>
      <c r="AJ202" s="1142"/>
      <c r="AK202" s="1137">
        <f t="shared" si="12"/>
        <v>0</v>
      </c>
      <c r="AL202" s="1137">
        <f t="shared" si="12"/>
        <v>0</v>
      </c>
    </row>
    <row r="203" spans="1:38" hidden="1" outlineLevel="2" x14ac:dyDescent="0.3">
      <c r="A203" s="1130"/>
      <c r="B203" s="1138"/>
      <c r="C203" s="1139"/>
      <c r="D203" s="1140"/>
      <c r="E203" s="1134"/>
      <c r="F203" s="1141"/>
      <c r="G203" s="1141"/>
      <c r="H203" s="1141"/>
      <c r="I203" s="1141"/>
      <c r="J203" s="1141"/>
      <c r="K203" s="1135"/>
      <c r="L203" s="1141"/>
      <c r="M203" s="1141"/>
      <c r="N203" s="1141"/>
      <c r="O203" s="1141"/>
      <c r="P203" s="1141"/>
      <c r="Q203" s="1141"/>
      <c r="R203" s="1141"/>
      <c r="S203" s="1141"/>
      <c r="T203" s="1141"/>
      <c r="U203" s="1135"/>
      <c r="V203" s="1141"/>
      <c r="W203" s="1141"/>
      <c r="X203" s="1141"/>
      <c r="Y203" s="1141"/>
      <c r="Z203" s="1141"/>
      <c r="AA203" s="1141"/>
      <c r="AB203" s="1141"/>
      <c r="AC203" s="1141"/>
      <c r="AD203" s="1141"/>
      <c r="AE203" s="1135"/>
      <c r="AF203" s="1141"/>
      <c r="AG203" s="1135"/>
      <c r="AH203" s="1141"/>
      <c r="AI203" s="1141"/>
      <c r="AJ203" s="1142"/>
      <c r="AK203" s="1137">
        <f t="shared" si="12"/>
        <v>0</v>
      </c>
      <c r="AL203" s="1137">
        <f t="shared" si="12"/>
        <v>0</v>
      </c>
    </row>
    <row r="204" spans="1:38" hidden="1" outlineLevel="2" x14ac:dyDescent="0.3">
      <c r="A204" s="1130"/>
      <c r="B204" s="1138"/>
      <c r="C204" s="1139"/>
      <c r="D204" s="1140"/>
      <c r="E204" s="1134"/>
      <c r="F204" s="1141"/>
      <c r="G204" s="1141"/>
      <c r="H204" s="1141"/>
      <c r="I204" s="1141"/>
      <c r="J204" s="1141"/>
      <c r="K204" s="1135"/>
      <c r="L204" s="1141"/>
      <c r="M204" s="1141"/>
      <c r="N204" s="1141"/>
      <c r="O204" s="1141"/>
      <c r="P204" s="1141"/>
      <c r="Q204" s="1141"/>
      <c r="R204" s="1141"/>
      <c r="S204" s="1141"/>
      <c r="T204" s="1141"/>
      <c r="U204" s="1135"/>
      <c r="V204" s="1141"/>
      <c r="W204" s="1141"/>
      <c r="X204" s="1141"/>
      <c r="Y204" s="1141"/>
      <c r="Z204" s="1141"/>
      <c r="AA204" s="1141"/>
      <c r="AB204" s="1141"/>
      <c r="AC204" s="1141"/>
      <c r="AD204" s="1141"/>
      <c r="AE204" s="1135"/>
      <c r="AF204" s="1141"/>
      <c r="AG204" s="1135"/>
      <c r="AH204" s="1141"/>
      <c r="AI204" s="1141"/>
      <c r="AJ204" s="1142"/>
      <c r="AK204" s="1137">
        <f t="shared" si="12"/>
        <v>0</v>
      </c>
      <c r="AL204" s="1137">
        <f t="shared" si="12"/>
        <v>0</v>
      </c>
    </row>
    <row r="205" spans="1:38" hidden="1" outlineLevel="2" x14ac:dyDescent="0.3">
      <c r="A205" s="1130"/>
      <c r="B205" s="1138"/>
      <c r="C205" s="1139"/>
      <c r="D205" s="1140"/>
      <c r="E205" s="1134"/>
      <c r="F205" s="1141"/>
      <c r="G205" s="1141"/>
      <c r="H205" s="1141"/>
      <c r="I205" s="1141"/>
      <c r="J205" s="1141"/>
      <c r="K205" s="1135"/>
      <c r="L205" s="1141"/>
      <c r="M205" s="1141"/>
      <c r="N205" s="1141"/>
      <c r="O205" s="1141"/>
      <c r="P205" s="1141"/>
      <c r="Q205" s="1141"/>
      <c r="R205" s="1141"/>
      <c r="S205" s="1141"/>
      <c r="T205" s="1141"/>
      <c r="U205" s="1135"/>
      <c r="V205" s="1141"/>
      <c r="W205" s="1141"/>
      <c r="X205" s="1141"/>
      <c r="Y205" s="1141"/>
      <c r="Z205" s="1141"/>
      <c r="AA205" s="1141"/>
      <c r="AB205" s="1141"/>
      <c r="AC205" s="1141"/>
      <c r="AD205" s="1141"/>
      <c r="AE205" s="1135"/>
      <c r="AF205" s="1141"/>
      <c r="AG205" s="1135"/>
      <c r="AH205" s="1141"/>
      <c r="AI205" s="1141"/>
      <c r="AJ205" s="1142"/>
      <c r="AK205" s="1137">
        <f t="shared" si="12"/>
        <v>0</v>
      </c>
      <c r="AL205" s="1137">
        <f t="shared" si="12"/>
        <v>0</v>
      </c>
    </row>
    <row r="206" spans="1:38" hidden="1" outlineLevel="2" x14ac:dyDescent="0.3">
      <c r="A206" s="1130"/>
      <c r="B206" s="1138"/>
      <c r="C206" s="1139"/>
      <c r="D206" s="1140"/>
      <c r="E206" s="1134"/>
      <c r="F206" s="1141"/>
      <c r="G206" s="1141"/>
      <c r="H206" s="1141"/>
      <c r="I206" s="1141"/>
      <c r="J206" s="1141"/>
      <c r="K206" s="1135"/>
      <c r="L206" s="1141"/>
      <c r="M206" s="1141"/>
      <c r="N206" s="1141"/>
      <c r="O206" s="1141"/>
      <c r="P206" s="1141"/>
      <c r="Q206" s="1141"/>
      <c r="R206" s="1141"/>
      <c r="S206" s="1141"/>
      <c r="T206" s="1141"/>
      <c r="U206" s="1135"/>
      <c r="V206" s="1141"/>
      <c r="W206" s="1141"/>
      <c r="X206" s="1141"/>
      <c r="Y206" s="1141"/>
      <c r="Z206" s="1141"/>
      <c r="AA206" s="1141"/>
      <c r="AB206" s="1141"/>
      <c r="AC206" s="1141"/>
      <c r="AD206" s="1141"/>
      <c r="AE206" s="1135"/>
      <c r="AF206" s="1141"/>
      <c r="AG206" s="1135"/>
      <c r="AH206" s="1141"/>
      <c r="AI206" s="1141"/>
      <c r="AJ206" s="1142"/>
      <c r="AK206" s="1137">
        <f t="shared" si="12"/>
        <v>0</v>
      </c>
      <c r="AL206" s="1137">
        <f t="shared" si="12"/>
        <v>0</v>
      </c>
    </row>
    <row r="207" spans="1:38" hidden="1" outlineLevel="2" x14ac:dyDescent="0.3">
      <c r="A207" s="1130"/>
      <c r="B207" s="1138"/>
      <c r="C207" s="1139"/>
      <c r="D207" s="1140"/>
      <c r="E207" s="1134"/>
      <c r="F207" s="1141"/>
      <c r="G207" s="1141"/>
      <c r="H207" s="1141"/>
      <c r="I207" s="1141"/>
      <c r="J207" s="1141"/>
      <c r="K207" s="1135"/>
      <c r="L207" s="1141"/>
      <c r="M207" s="1141"/>
      <c r="N207" s="1141"/>
      <c r="O207" s="1141"/>
      <c r="P207" s="1141"/>
      <c r="Q207" s="1141"/>
      <c r="R207" s="1141"/>
      <c r="S207" s="1141"/>
      <c r="T207" s="1141"/>
      <c r="U207" s="1135"/>
      <c r="V207" s="1141"/>
      <c r="W207" s="1141"/>
      <c r="X207" s="1141"/>
      <c r="Y207" s="1141"/>
      <c r="Z207" s="1141"/>
      <c r="AA207" s="1141"/>
      <c r="AB207" s="1141"/>
      <c r="AC207" s="1141"/>
      <c r="AD207" s="1141"/>
      <c r="AE207" s="1135"/>
      <c r="AF207" s="1141"/>
      <c r="AG207" s="1135"/>
      <c r="AH207" s="1141"/>
      <c r="AI207" s="1141"/>
      <c r="AJ207" s="1142"/>
      <c r="AK207" s="1137">
        <f t="shared" si="12"/>
        <v>0</v>
      </c>
      <c r="AL207" s="1137">
        <f t="shared" si="12"/>
        <v>0</v>
      </c>
    </row>
    <row r="208" spans="1:38" hidden="1" outlineLevel="2" x14ac:dyDescent="0.3">
      <c r="A208" s="1130"/>
      <c r="B208" s="1138"/>
      <c r="C208" s="1139"/>
      <c r="D208" s="1140"/>
      <c r="E208" s="1134"/>
      <c r="F208" s="1141"/>
      <c r="G208" s="1141"/>
      <c r="H208" s="1141"/>
      <c r="I208" s="1141"/>
      <c r="J208" s="1141"/>
      <c r="K208" s="1135"/>
      <c r="L208" s="1141"/>
      <c r="M208" s="1141"/>
      <c r="N208" s="1141"/>
      <c r="O208" s="1141"/>
      <c r="P208" s="1141"/>
      <c r="Q208" s="1141"/>
      <c r="R208" s="1141"/>
      <c r="S208" s="1141"/>
      <c r="T208" s="1141"/>
      <c r="U208" s="1135"/>
      <c r="V208" s="1141"/>
      <c r="W208" s="1141"/>
      <c r="X208" s="1141"/>
      <c r="Y208" s="1141"/>
      <c r="Z208" s="1141"/>
      <c r="AA208" s="1141"/>
      <c r="AB208" s="1141"/>
      <c r="AC208" s="1141"/>
      <c r="AD208" s="1141"/>
      <c r="AE208" s="1135"/>
      <c r="AF208" s="1141"/>
      <c r="AG208" s="1135"/>
      <c r="AH208" s="1141"/>
      <c r="AI208" s="1141"/>
      <c r="AJ208" s="1142"/>
      <c r="AK208" s="1137">
        <f t="shared" si="12"/>
        <v>0</v>
      </c>
      <c r="AL208" s="1137">
        <f t="shared" si="12"/>
        <v>0</v>
      </c>
    </row>
    <row r="209" spans="1:38" hidden="1" outlineLevel="2" x14ac:dyDescent="0.3">
      <c r="A209" s="1130"/>
      <c r="B209" s="1138"/>
      <c r="C209" s="1139"/>
      <c r="D209" s="1140"/>
      <c r="E209" s="1134"/>
      <c r="F209" s="1141"/>
      <c r="G209" s="1141"/>
      <c r="H209" s="1141"/>
      <c r="I209" s="1141"/>
      <c r="J209" s="1141"/>
      <c r="K209" s="1135"/>
      <c r="L209" s="1141"/>
      <c r="M209" s="1141"/>
      <c r="N209" s="1141"/>
      <c r="O209" s="1141"/>
      <c r="P209" s="1141"/>
      <c r="Q209" s="1141"/>
      <c r="R209" s="1141"/>
      <c r="S209" s="1141"/>
      <c r="T209" s="1141"/>
      <c r="U209" s="1135"/>
      <c r="V209" s="1141"/>
      <c r="W209" s="1141"/>
      <c r="X209" s="1141"/>
      <c r="Y209" s="1141"/>
      <c r="Z209" s="1141"/>
      <c r="AA209" s="1141"/>
      <c r="AB209" s="1141"/>
      <c r="AC209" s="1141"/>
      <c r="AD209" s="1141"/>
      <c r="AE209" s="1135"/>
      <c r="AF209" s="1141"/>
      <c r="AG209" s="1135"/>
      <c r="AH209" s="1141"/>
      <c r="AI209" s="1141"/>
      <c r="AJ209" s="1142"/>
      <c r="AK209" s="1137">
        <f t="shared" si="12"/>
        <v>0</v>
      </c>
      <c r="AL209" s="1137">
        <f t="shared" si="12"/>
        <v>0</v>
      </c>
    </row>
    <row r="210" spans="1:38" hidden="1" outlineLevel="2" x14ac:dyDescent="0.3">
      <c r="A210" s="1130"/>
      <c r="B210" s="1138"/>
      <c r="C210" s="1139"/>
      <c r="D210" s="1140"/>
      <c r="E210" s="1134"/>
      <c r="F210" s="1141"/>
      <c r="G210" s="1141"/>
      <c r="H210" s="1141"/>
      <c r="I210" s="1141"/>
      <c r="J210" s="1141"/>
      <c r="K210" s="1135"/>
      <c r="L210" s="1141"/>
      <c r="M210" s="1141"/>
      <c r="N210" s="1141"/>
      <c r="O210" s="1141"/>
      <c r="P210" s="1141"/>
      <c r="Q210" s="1141"/>
      <c r="R210" s="1141"/>
      <c r="S210" s="1141"/>
      <c r="T210" s="1141"/>
      <c r="U210" s="1135"/>
      <c r="V210" s="1141"/>
      <c r="W210" s="1141"/>
      <c r="X210" s="1141"/>
      <c r="Y210" s="1141"/>
      <c r="Z210" s="1141"/>
      <c r="AA210" s="1141"/>
      <c r="AB210" s="1141"/>
      <c r="AC210" s="1141"/>
      <c r="AD210" s="1141"/>
      <c r="AE210" s="1135"/>
      <c r="AF210" s="1141"/>
      <c r="AG210" s="1135"/>
      <c r="AH210" s="1141"/>
      <c r="AI210" s="1141"/>
      <c r="AJ210" s="1142"/>
      <c r="AK210" s="1137">
        <f t="shared" si="12"/>
        <v>0</v>
      </c>
      <c r="AL210" s="1137">
        <f t="shared" si="12"/>
        <v>0</v>
      </c>
    </row>
    <row r="211" spans="1:38" hidden="1" outlineLevel="2" x14ac:dyDescent="0.3">
      <c r="A211" s="1130"/>
      <c r="B211" s="1138"/>
      <c r="C211" s="1139"/>
      <c r="D211" s="1140"/>
      <c r="E211" s="1134"/>
      <c r="F211" s="1141"/>
      <c r="G211" s="1141"/>
      <c r="H211" s="1141"/>
      <c r="I211" s="1141"/>
      <c r="J211" s="1141"/>
      <c r="K211" s="1135"/>
      <c r="L211" s="1141"/>
      <c r="M211" s="1141"/>
      <c r="N211" s="1141"/>
      <c r="O211" s="1141"/>
      <c r="P211" s="1141"/>
      <c r="Q211" s="1141"/>
      <c r="R211" s="1141"/>
      <c r="S211" s="1141"/>
      <c r="T211" s="1141"/>
      <c r="U211" s="1135"/>
      <c r="V211" s="1141"/>
      <c r="W211" s="1141"/>
      <c r="X211" s="1141"/>
      <c r="Y211" s="1141"/>
      <c r="Z211" s="1141"/>
      <c r="AA211" s="1141"/>
      <c r="AB211" s="1141"/>
      <c r="AC211" s="1141"/>
      <c r="AD211" s="1141"/>
      <c r="AE211" s="1135"/>
      <c r="AF211" s="1141"/>
      <c r="AG211" s="1135"/>
      <c r="AH211" s="1141"/>
      <c r="AI211" s="1141"/>
      <c r="AJ211" s="1142"/>
      <c r="AK211" s="1137">
        <f t="shared" si="12"/>
        <v>0</v>
      </c>
      <c r="AL211" s="1137">
        <f t="shared" si="12"/>
        <v>0</v>
      </c>
    </row>
    <row r="212" spans="1:38" hidden="1" outlineLevel="2" x14ac:dyDescent="0.3">
      <c r="A212" s="1130"/>
      <c r="B212" s="1138"/>
      <c r="C212" s="1139"/>
      <c r="D212" s="1140"/>
      <c r="E212" s="1134"/>
      <c r="F212" s="1141"/>
      <c r="G212" s="1141"/>
      <c r="H212" s="1141"/>
      <c r="I212" s="1141"/>
      <c r="J212" s="1141"/>
      <c r="K212" s="1135"/>
      <c r="L212" s="1141"/>
      <c r="M212" s="1141"/>
      <c r="N212" s="1141"/>
      <c r="O212" s="1141"/>
      <c r="P212" s="1141"/>
      <c r="Q212" s="1141"/>
      <c r="R212" s="1141"/>
      <c r="S212" s="1141"/>
      <c r="T212" s="1141"/>
      <c r="U212" s="1135"/>
      <c r="V212" s="1141"/>
      <c r="W212" s="1141"/>
      <c r="X212" s="1141"/>
      <c r="Y212" s="1141"/>
      <c r="Z212" s="1141"/>
      <c r="AA212" s="1141"/>
      <c r="AB212" s="1141"/>
      <c r="AC212" s="1141"/>
      <c r="AD212" s="1141"/>
      <c r="AE212" s="1135"/>
      <c r="AF212" s="1141"/>
      <c r="AG212" s="1135"/>
      <c r="AH212" s="1141"/>
      <c r="AI212" s="1141"/>
      <c r="AJ212" s="1142"/>
      <c r="AK212" s="1137">
        <f t="shared" si="12"/>
        <v>0</v>
      </c>
      <c r="AL212" s="1137">
        <f t="shared" si="12"/>
        <v>0</v>
      </c>
    </row>
    <row r="213" spans="1:38" hidden="1" outlineLevel="2" x14ac:dyDescent="0.3">
      <c r="A213" s="1130"/>
      <c r="B213" s="1138"/>
      <c r="C213" s="1139"/>
      <c r="D213" s="1140"/>
      <c r="E213" s="1134"/>
      <c r="F213" s="1141"/>
      <c r="G213" s="1141"/>
      <c r="H213" s="1141"/>
      <c r="I213" s="1141"/>
      <c r="J213" s="1141"/>
      <c r="K213" s="1135"/>
      <c r="L213" s="1141"/>
      <c r="M213" s="1141"/>
      <c r="N213" s="1141"/>
      <c r="O213" s="1141"/>
      <c r="P213" s="1141"/>
      <c r="Q213" s="1141"/>
      <c r="R213" s="1141"/>
      <c r="S213" s="1141"/>
      <c r="T213" s="1141"/>
      <c r="U213" s="1135"/>
      <c r="V213" s="1141"/>
      <c r="W213" s="1141"/>
      <c r="X213" s="1141"/>
      <c r="Y213" s="1141"/>
      <c r="Z213" s="1141"/>
      <c r="AA213" s="1141"/>
      <c r="AB213" s="1141"/>
      <c r="AC213" s="1141"/>
      <c r="AD213" s="1141"/>
      <c r="AE213" s="1135"/>
      <c r="AF213" s="1141"/>
      <c r="AG213" s="1135"/>
      <c r="AH213" s="1141"/>
      <c r="AI213" s="1141"/>
      <c r="AJ213" s="1142"/>
      <c r="AK213" s="1137">
        <f t="shared" si="12"/>
        <v>0</v>
      </c>
      <c r="AL213" s="1137">
        <f t="shared" si="12"/>
        <v>0</v>
      </c>
    </row>
    <row r="214" spans="1:38" hidden="1" outlineLevel="2" x14ac:dyDescent="0.3">
      <c r="A214" s="1130"/>
      <c r="B214" s="1138"/>
      <c r="C214" s="1139"/>
      <c r="D214" s="1140"/>
      <c r="E214" s="1134"/>
      <c r="F214" s="1141"/>
      <c r="G214" s="1141"/>
      <c r="H214" s="1141"/>
      <c r="I214" s="1141"/>
      <c r="J214" s="1141"/>
      <c r="K214" s="1135"/>
      <c r="L214" s="1141"/>
      <c r="M214" s="1141"/>
      <c r="N214" s="1141"/>
      <c r="O214" s="1141"/>
      <c r="P214" s="1141"/>
      <c r="Q214" s="1141"/>
      <c r="R214" s="1141"/>
      <c r="S214" s="1141"/>
      <c r="T214" s="1141"/>
      <c r="U214" s="1135"/>
      <c r="V214" s="1141"/>
      <c r="W214" s="1141"/>
      <c r="X214" s="1141"/>
      <c r="Y214" s="1141"/>
      <c r="Z214" s="1141"/>
      <c r="AA214" s="1141"/>
      <c r="AB214" s="1141"/>
      <c r="AC214" s="1141"/>
      <c r="AD214" s="1141"/>
      <c r="AE214" s="1135"/>
      <c r="AF214" s="1141"/>
      <c r="AG214" s="1135"/>
      <c r="AH214" s="1141"/>
      <c r="AI214" s="1141"/>
      <c r="AJ214" s="1142"/>
      <c r="AK214" s="1137">
        <f t="shared" si="12"/>
        <v>0</v>
      </c>
      <c r="AL214" s="1137">
        <f t="shared" si="12"/>
        <v>0</v>
      </c>
    </row>
    <row r="215" spans="1:38" hidden="1" outlineLevel="2" x14ac:dyDescent="0.3">
      <c r="A215" s="1130"/>
      <c r="B215" s="1138"/>
      <c r="C215" s="1139"/>
      <c r="D215" s="1140"/>
      <c r="E215" s="1134"/>
      <c r="F215" s="1141"/>
      <c r="G215" s="1141"/>
      <c r="H215" s="1141"/>
      <c r="I215" s="1141"/>
      <c r="J215" s="1141"/>
      <c r="K215" s="1135"/>
      <c r="L215" s="1141"/>
      <c r="M215" s="1141"/>
      <c r="N215" s="1141"/>
      <c r="O215" s="1141"/>
      <c r="P215" s="1141"/>
      <c r="Q215" s="1141"/>
      <c r="R215" s="1141"/>
      <c r="S215" s="1141"/>
      <c r="T215" s="1141"/>
      <c r="U215" s="1135"/>
      <c r="V215" s="1141"/>
      <c r="W215" s="1141"/>
      <c r="X215" s="1141"/>
      <c r="Y215" s="1141"/>
      <c r="Z215" s="1141"/>
      <c r="AA215" s="1141"/>
      <c r="AB215" s="1141"/>
      <c r="AC215" s="1141"/>
      <c r="AD215" s="1141"/>
      <c r="AE215" s="1135"/>
      <c r="AF215" s="1141"/>
      <c r="AG215" s="1135"/>
      <c r="AH215" s="1141"/>
      <c r="AI215" s="1141"/>
      <c r="AJ215" s="1142"/>
      <c r="AK215" s="1137">
        <f t="shared" si="12"/>
        <v>0</v>
      </c>
      <c r="AL215" s="1137">
        <f t="shared" si="12"/>
        <v>0</v>
      </c>
    </row>
    <row r="216" spans="1:38" hidden="1" outlineLevel="2" x14ac:dyDescent="0.3">
      <c r="A216" s="1130"/>
      <c r="B216" s="1138"/>
      <c r="C216" s="1139"/>
      <c r="D216" s="1140"/>
      <c r="E216" s="1134"/>
      <c r="F216" s="1141"/>
      <c r="G216" s="1141"/>
      <c r="H216" s="1141"/>
      <c r="I216" s="1141"/>
      <c r="J216" s="1141"/>
      <c r="K216" s="1135"/>
      <c r="L216" s="1141"/>
      <c r="M216" s="1141"/>
      <c r="N216" s="1141"/>
      <c r="O216" s="1141"/>
      <c r="P216" s="1141"/>
      <c r="Q216" s="1141"/>
      <c r="R216" s="1141"/>
      <c r="S216" s="1141"/>
      <c r="T216" s="1141"/>
      <c r="U216" s="1135"/>
      <c r="V216" s="1141"/>
      <c r="W216" s="1141"/>
      <c r="X216" s="1141"/>
      <c r="Y216" s="1141"/>
      <c r="Z216" s="1141"/>
      <c r="AA216" s="1141"/>
      <c r="AB216" s="1141"/>
      <c r="AC216" s="1141"/>
      <c r="AD216" s="1141"/>
      <c r="AE216" s="1135"/>
      <c r="AF216" s="1141"/>
      <c r="AG216" s="1135"/>
      <c r="AH216" s="1141"/>
      <c r="AI216" s="1141"/>
      <c r="AJ216" s="1142"/>
      <c r="AK216" s="1137">
        <f t="shared" si="12"/>
        <v>0</v>
      </c>
      <c r="AL216" s="1137">
        <f t="shared" si="12"/>
        <v>0</v>
      </c>
    </row>
    <row r="217" spans="1:38" hidden="1" outlineLevel="2" x14ac:dyDescent="0.3">
      <c r="A217" s="1130"/>
      <c r="B217" s="1138"/>
      <c r="C217" s="1139"/>
      <c r="D217" s="1140"/>
      <c r="E217" s="1134"/>
      <c r="F217" s="1141"/>
      <c r="G217" s="1141"/>
      <c r="H217" s="1141"/>
      <c r="I217" s="1141"/>
      <c r="J217" s="1141"/>
      <c r="K217" s="1135"/>
      <c r="L217" s="1141"/>
      <c r="M217" s="1141"/>
      <c r="N217" s="1141"/>
      <c r="O217" s="1141"/>
      <c r="P217" s="1141"/>
      <c r="Q217" s="1141"/>
      <c r="R217" s="1141"/>
      <c r="S217" s="1141"/>
      <c r="T217" s="1141"/>
      <c r="U217" s="1135"/>
      <c r="V217" s="1141"/>
      <c r="W217" s="1141"/>
      <c r="X217" s="1141"/>
      <c r="Y217" s="1141"/>
      <c r="Z217" s="1141"/>
      <c r="AA217" s="1141"/>
      <c r="AB217" s="1141"/>
      <c r="AC217" s="1141"/>
      <c r="AD217" s="1141"/>
      <c r="AE217" s="1135"/>
      <c r="AF217" s="1141"/>
      <c r="AG217" s="1135"/>
      <c r="AH217" s="1141"/>
      <c r="AI217" s="1141"/>
      <c r="AJ217" s="1142"/>
      <c r="AK217" s="1137">
        <f t="shared" si="12"/>
        <v>0</v>
      </c>
      <c r="AL217" s="1137">
        <f t="shared" si="12"/>
        <v>0</v>
      </c>
    </row>
    <row r="218" spans="1:38" hidden="1" outlineLevel="2" x14ac:dyDescent="0.3">
      <c r="A218" s="1130"/>
      <c r="B218" s="1138"/>
      <c r="C218" s="1139"/>
      <c r="D218" s="1140"/>
      <c r="E218" s="1134"/>
      <c r="F218" s="1141"/>
      <c r="G218" s="1141"/>
      <c r="H218" s="1141"/>
      <c r="I218" s="1141"/>
      <c r="J218" s="1141"/>
      <c r="K218" s="1135"/>
      <c r="L218" s="1141"/>
      <c r="M218" s="1141"/>
      <c r="N218" s="1141"/>
      <c r="O218" s="1141"/>
      <c r="P218" s="1141"/>
      <c r="Q218" s="1141"/>
      <c r="R218" s="1141"/>
      <c r="S218" s="1141"/>
      <c r="T218" s="1141"/>
      <c r="U218" s="1135"/>
      <c r="V218" s="1141"/>
      <c r="W218" s="1141"/>
      <c r="X218" s="1141"/>
      <c r="Y218" s="1141"/>
      <c r="Z218" s="1141"/>
      <c r="AA218" s="1141"/>
      <c r="AB218" s="1141"/>
      <c r="AC218" s="1141"/>
      <c r="AD218" s="1141"/>
      <c r="AE218" s="1135"/>
      <c r="AF218" s="1141"/>
      <c r="AG218" s="1135"/>
      <c r="AH218" s="1141"/>
      <c r="AI218" s="1141"/>
      <c r="AJ218" s="1142"/>
      <c r="AK218" s="1137">
        <f t="shared" si="12"/>
        <v>0</v>
      </c>
      <c r="AL218" s="1137">
        <f t="shared" si="12"/>
        <v>0</v>
      </c>
    </row>
    <row r="219" spans="1:38" hidden="1" outlineLevel="2" x14ac:dyDescent="0.3">
      <c r="A219" s="1130"/>
      <c r="B219" s="1138"/>
      <c r="C219" s="1139"/>
      <c r="D219" s="1140"/>
      <c r="E219" s="1134"/>
      <c r="F219" s="1141"/>
      <c r="G219" s="1141"/>
      <c r="H219" s="1141"/>
      <c r="I219" s="1141"/>
      <c r="J219" s="1141"/>
      <c r="K219" s="1135"/>
      <c r="L219" s="1141"/>
      <c r="M219" s="1141"/>
      <c r="N219" s="1141"/>
      <c r="O219" s="1141"/>
      <c r="P219" s="1141"/>
      <c r="Q219" s="1141"/>
      <c r="R219" s="1141"/>
      <c r="S219" s="1141"/>
      <c r="T219" s="1141"/>
      <c r="U219" s="1135"/>
      <c r="V219" s="1141"/>
      <c r="W219" s="1141"/>
      <c r="X219" s="1141"/>
      <c r="Y219" s="1141"/>
      <c r="Z219" s="1141"/>
      <c r="AA219" s="1141"/>
      <c r="AB219" s="1141"/>
      <c r="AC219" s="1141"/>
      <c r="AD219" s="1141"/>
      <c r="AE219" s="1135"/>
      <c r="AF219" s="1141"/>
      <c r="AG219" s="1135"/>
      <c r="AH219" s="1141"/>
      <c r="AI219" s="1141"/>
      <c r="AJ219" s="1142"/>
      <c r="AK219" s="1137">
        <f t="shared" si="12"/>
        <v>0</v>
      </c>
      <c r="AL219" s="1137">
        <f t="shared" si="12"/>
        <v>0</v>
      </c>
    </row>
    <row r="220" spans="1:38" hidden="1" outlineLevel="2" x14ac:dyDescent="0.3">
      <c r="A220" s="1130"/>
      <c r="B220" s="1138"/>
      <c r="C220" s="1139"/>
      <c r="D220" s="1140"/>
      <c r="E220" s="1134"/>
      <c r="F220" s="1141"/>
      <c r="G220" s="1141"/>
      <c r="H220" s="1141"/>
      <c r="I220" s="1141"/>
      <c r="J220" s="1141"/>
      <c r="K220" s="1135"/>
      <c r="L220" s="1141"/>
      <c r="M220" s="1141"/>
      <c r="N220" s="1141"/>
      <c r="O220" s="1141"/>
      <c r="P220" s="1141"/>
      <c r="Q220" s="1141"/>
      <c r="R220" s="1141"/>
      <c r="S220" s="1141"/>
      <c r="T220" s="1141"/>
      <c r="U220" s="1135"/>
      <c r="V220" s="1141"/>
      <c r="W220" s="1141"/>
      <c r="X220" s="1141"/>
      <c r="Y220" s="1141"/>
      <c r="Z220" s="1141"/>
      <c r="AA220" s="1141"/>
      <c r="AB220" s="1141"/>
      <c r="AC220" s="1141"/>
      <c r="AD220" s="1141"/>
      <c r="AE220" s="1135"/>
      <c r="AF220" s="1141"/>
      <c r="AG220" s="1135"/>
      <c r="AH220" s="1141"/>
      <c r="AI220" s="1141"/>
      <c r="AJ220" s="1142"/>
      <c r="AK220" s="1137">
        <f t="shared" si="12"/>
        <v>0</v>
      </c>
      <c r="AL220" s="1137">
        <f t="shared" si="12"/>
        <v>0</v>
      </c>
    </row>
    <row r="221" spans="1:38" hidden="1" outlineLevel="2" x14ac:dyDescent="0.3">
      <c r="A221" s="1130"/>
      <c r="B221" s="1138"/>
      <c r="C221" s="1139"/>
      <c r="D221" s="1140"/>
      <c r="E221" s="1134"/>
      <c r="F221" s="1141"/>
      <c r="G221" s="1141"/>
      <c r="H221" s="1141"/>
      <c r="I221" s="1141"/>
      <c r="J221" s="1141"/>
      <c r="K221" s="1135"/>
      <c r="L221" s="1141"/>
      <c r="M221" s="1141"/>
      <c r="N221" s="1141"/>
      <c r="O221" s="1141"/>
      <c r="P221" s="1141"/>
      <c r="Q221" s="1141"/>
      <c r="R221" s="1141"/>
      <c r="S221" s="1141"/>
      <c r="T221" s="1141"/>
      <c r="U221" s="1135"/>
      <c r="V221" s="1141"/>
      <c r="W221" s="1141"/>
      <c r="X221" s="1141"/>
      <c r="Y221" s="1141"/>
      <c r="Z221" s="1141"/>
      <c r="AA221" s="1141"/>
      <c r="AB221" s="1141"/>
      <c r="AC221" s="1141"/>
      <c r="AD221" s="1141"/>
      <c r="AE221" s="1135"/>
      <c r="AF221" s="1141"/>
      <c r="AG221" s="1135"/>
      <c r="AH221" s="1141"/>
      <c r="AI221" s="1141"/>
      <c r="AJ221" s="1142"/>
      <c r="AK221" s="1137">
        <f t="shared" si="12"/>
        <v>0</v>
      </c>
      <c r="AL221" s="1137">
        <f t="shared" si="12"/>
        <v>0</v>
      </c>
    </row>
    <row r="222" spans="1:38" hidden="1" outlineLevel="2" x14ac:dyDescent="0.3">
      <c r="A222" s="1130"/>
      <c r="B222" s="1138"/>
      <c r="C222" s="1139"/>
      <c r="D222" s="1140"/>
      <c r="E222" s="1134"/>
      <c r="F222" s="1141"/>
      <c r="G222" s="1141"/>
      <c r="H222" s="1141"/>
      <c r="I222" s="1141"/>
      <c r="J222" s="1141"/>
      <c r="K222" s="1135"/>
      <c r="L222" s="1141"/>
      <c r="M222" s="1141"/>
      <c r="N222" s="1141"/>
      <c r="O222" s="1141"/>
      <c r="P222" s="1141"/>
      <c r="Q222" s="1141"/>
      <c r="R222" s="1141"/>
      <c r="S222" s="1141"/>
      <c r="T222" s="1141"/>
      <c r="U222" s="1135"/>
      <c r="V222" s="1141"/>
      <c r="W222" s="1141"/>
      <c r="X222" s="1141"/>
      <c r="Y222" s="1141"/>
      <c r="Z222" s="1141"/>
      <c r="AA222" s="1141"/>
      <c r="AB222" s="1141"/>
      <c r="AC222" s="1141"/>
      <c r="AD222" s="1141"/>
      <c r="AE222" s="1135"/>
      <c r="AF222" s="1141"/>
      <c r="AG222" s="1135"/>
      <c r="AH222" s="1141"/>
      <c r="AI222" s="1141"/>
      <c r="AJ222" s="1142"/>
      <c r="AK222" s="1137">
        <f t="shared" si="12"/>
        <v>0</v>
      </c>
      <c r="AL222" s="1137">
        <f t="shared" si="12"/>
        <v>0</v>
      </c>
    </row>
    <row r="223" spans="1:38" hidden="1" outlineLevel="2" x14ac:dyDescent="0.3">
      <c r="A223" s="1130"/>
      <c r="B223" s="1138"/>
      <c r="C223" s="1139"/>
      <c r="D223" s="1140"/>
      <c r="E223" s="1134"/>
      <c r="F223" s="1141"/>
      <c r="G223" s="1141"/>
      <c r="H223" s="1141"/>
      <c r="I223" s="1141"/>
      <c r="J223" s="1141"/>
      <c r="K223" s="1135"/>
      <c r="L223" s="1141"/>
      <c r="M223" s="1141"/>
      <c r="N223" s="1141"/>
      <c r="O223" s="1141"/>
      <c r="P223" s="1141"/>
      <c r="Q223" s="1141"/>
      <c r="R223" s="1141"/>
      <c r="S223" s="1141"/>
      <c r="T223" s="1141"/>
      <c r="U223" s="1135"/>
      <c r="V223" s="1141"/>
      <c r="W223" s="1141"/>
      <c r="X223" s="1141"/>
      <c r="Y223" s="1141"/>
      <c r="Z223" s="1141"/>
      <c r="AA223" s="1141"/>
      <c r="AB223" s="1141"/>
      <c r="AC223" s="1141"/>
      <c r="AD223" s="1141"/>
      <c r="AE223" s="1135"/>
      <c r="AF223" s="1141"/>
      <c r="AG223" s="1135"/>
      <c r="AH223" s="1141"/>
      <c r="AI223" s="1141"/>
      <c r="AJ223" s="1142"/>
      <c r="AK223" s="1137">
        <f t="shared" si="12"/>
        <v>0</v>
      </c>
      <c r="AL223" s="1137">
        <f t="shared" si="12"/>
        <v>0</v>
      </c>
    </row>
    <row r="224" spans="1:38" hidden="1" outlineLevel="2" x14ac:dyDescent="0.3">
      <c r="A224" s="1130"/>
      <c r="B224" s="1138"/>
      <c r="C224" s="1139"/>
      <c r="D224" s="1140"/>
      <c r="E224" s="1134"/>
      <c r="F224" s="1141"/>
      <c r="G224" s="1141"/>
      <c r="H224" s="1141"/>
      <c r="I224" s="1141"/>
      <c r="J224" s="1141"/>
      <c r="K224" s="1135"/>
      <c r="L224" s="1141"/>
      <c r="M224" s="1141"/>
      <c r="N224" s="1141"/>
      <c r="O224" s="1141"/>
      <c r="P224" s="1141"/>
      <c r="Q224" s="1141"/>
      <c r="R224" s="1141"/>
      <c r="S224" s="1141"/>
      <c r="T224" s="1141"/>
      <c r="U224" s="1135"/>
      <c r="V224" s="1141"/>
      <c r="W224" s="1141"/>
      <c r="X224" s="1141"/>
      <c r="Y224" s="1141"/>
      <c r="Z224" s="1141"/>
      <c r="AA224" s="1141"/>
      <c r="AB224" s="1141"/>
      <c r="AC224" s="1141"/>
      <c r="AD224" s="1141"/>
      <c r="AE224" s="1135"/>
      <c r="AF224" s="1141"/>
      <c r="AG224" s="1135"/>
      <c r="AH224" s="1141"/>
      <c r="AI224" s="1141"/>
      <c r="AJ224" s="1142"/>
      <c r="AK224" s="1137">
        <f t="shared" si="12"/>
        <v>0</v>
      </c>
      <c r="AL224" s="1137">
        <f t="shared" si="12"/>
        <v>0</v>
      </c>
    </row>
    <row r="225" spans="1:38" hidden="1" outlineLevel="2" x14ac:dyDescent="0.3">
      <c r="A225" s="1130"/>
      <c r="B225" s="1138"/>
      <c r="C225" s="1139"/>
      <c r="D225" s="1140"/>
      <c r="E225" s="1134"/>
      <c r="F225" s="1141"/>
      <c r="G225" s="1141"/>
      <c r="H225" s="1141"/>
      <c r="I225" s="1141"/>
      <c r="J225" s="1141"/>
      <c r="K225" s="1135"/>
      <c r="L225" s="1141"/>
      <c r="M225" s="1141"/>
      <c r="N225" s="1141"/>
      <c r="O225" s="1141"/>
      <c r="P225" s="1141"/>
      <c r="Q225" s="1141"/>
      <c r="R225" s="1141"/>
      <c r="S225" s="1141"/>
      <c r="T225" s="1141"/>
      <c r="U225" s="1135"/>
      <c r="V225" s="1141"/>
      <c r="W225" s="1141"/>
      <c r="X225" s="1141"/>
      <c r="Y225" s="1141"/>
      <c r="Z225" s="1141"/>
      <c r="AA225" s="1141"/>
      <c r="AB225" s="1141"/>
      <c r="AC225" s="1141"/>
      <c r="AD225" s="1141"/>
      <c r="AE225" s="1135"/>
      <c r="AF225" s="1141"/>
      <c r="AG225" s="1135"/>
      <c r="AH225" s="1141"/>
      <c r="AI225" s="1141"/>
      <c r="AJ225" s="1142"/>
      <c r="AK225" s="1137">
        <f t="shared" si="12"/>
        <v>0</v>
      </c>
      <c r="AL225" s="1137">
        <f t="shared" si="12"/>
        <v>0</v>
      </c>
    </row>
    <row r="226" spans="1:38" hidden="1" outlineLevel="2" x14ac:dyDescent="0.3">
      <c r="A226" s="1130"/>
      <c r="B226" s="1138"/>
      <c r="C226" s="1139"/>
      <c r="D226" s="1140"/>
      <c r="E226" s="1134"/>
      <c r="F226" s="1141"/>
      <c r="G226" s="1141"/>
      <c r="H226" s="1141"/>
      <c r="I226" s="1141"/>
      <c r="J226" s="1141"/>
      <c r="K226" s="1135"/>
      <c r="L226" s="1141"/>
      <c r="M226" s="1141"/>
      <c r="N226" s="1141"/>
      <c r="O226" s="1141"/>
      <c r="P226" s="1141"/>
      <c r="Q226" s="1141"/>
      <c r="R226" s="1141"/>
      <c r="S226" s="1141"/>
      <c r="T226" s="1141"/>
      <c r="U226" s="1135"/>
      <c r="V226" s="1141"/>
      <c r="W226" s="1141"/>
      <c r="X226" s="1141"/>
      <c r="Y226" s="1141"/>
      <c r="Z226" s="1141"/>
      <c r="AA226" s="1141"/>
      <c r="AB226" s="1141"/>
      <c r="AC226" s="1141"/>
      <c r="AD226" s="1141"/>
      <c r="AE226" s="1135"/>
      <c r="AF226" s="1141"/>
      <c r="AG226" s="1135"/>
      <c r="AH226" s="1141"/>
      <c r="AI226" s="1141"/>
      <c r="AJ226" s="1142"/>
      <c r="AK226" s="1137">
        <f t="shared" si="12"/>
        <v>0</v>
      </c>
      <c r="AL226" s="1137">
        <f t="shared" si="12"/>
        <v>0</v>
      </c>
    </row>
    <row r="227" spans="1:38" hidden="1" outlineLevel="2" x14ac:dyDescent="0.3">
      <c r="A227" s="1130"/>
      <c r="B227" s="1138"/>
      <c r="C227" s="1139"/>
      <c r="D227" s="1140"/>
      <c r="E227" s="1134"/>
      <c r="F227" s="1141"/>
      <c r="G227" s="1141"/>
      <c r="H227" s="1141"/>
      <c r="I227" s="1141"/>
      <c r="J227" s="1141"/>
      <c r="K227" s="1135"/>
      <c r="L227" s="1141"/>
      <c r="M227" s="1141"/>
      <c r="N227" s="1141"/>
      <c r="O227" s="1141"/>
      <c r="P227" s="1141"/>
      <c r="Q227" s="1141"/>
      <c r="R227" s="1141"/>
      <c r="S227" s="1141"/>
      <c r="T227" s="1141"/>
      <c r="U227" s="1135"/>
      <c r="V227" s="1141"/>
      <c r="W227" s="1141"/>
      <c r="X227" s="1141"/>
      <c r="Y227" s="1141"/>
      <c r="Z227" s="1141"/>
      <c r="AA227" s="1141"/>
      <c r="AB227" s="1141"/>
      <c r="AC227" s="1141"/>
      <c r="AD227" s="1141"/>
      <c r="AE227" s="1135"/>
      <c r="AF227" s="1141"/>
      <c r="AG227" s="1135"/>
      <c r="AH227" s="1141"/>
      <c r="AI227" s="1141"/>
      <c r="AJ227" s="1142"/>
      <c r="AK227" s="1137">
        <f t="shared" si="12"/>
        <v>0</v>
      </c>
      <c r="AL227" s="1137">
        <f t="shared" si="12"/>
        <v>0</v>
      </c>
    </row>
    <row r="228" spans="1:38" hidden="1" outlineLevel="2" x14ac:dyDescent="0.3">
      <c r="A228" s="1130"/>
      <c r="B228" s="1138"/>
      <c r="C228" s="1139"/>
      <c r="D228" s="1140"/>
      <c r="E228" s="1134"/>
      <c r="F228" s="1141"/>
      <c r="G228" s="1141"/>
      <c r="H228" s="1141"/>
      <c r="I228" s="1141"/>
      <c r="J228" s="1141"/>
      <c r="K228" s="1135"/>
      <c r="L228" s="1141"/>
      <c r="M228" s="1141"/>
      <c r="N228" s="1141"/>
      <c r="O228" s="1141"/>
      <c r="P228" s="1141"/>
      <c r="Q228" s="1141"/>
      <c r="R228" s="1141"/>
      <c r="S228" s="1141"/>
      <c r="T228" s="1141"/>
      <c r="U228" s="1135"/>
      <c r="V228" s="1141"/>
      <c r="W228" s="1141"/>
      <c r="X228" s="1141"/>
      <c r="Y228" s="1141"/>
      <c r="Z228" s="1141"/>
      <c r="AA228" s="1141"/>
      <c r="AB228" s="1141"/>
      <c r="AC228" s="1141"/>
      <c r="AD228" s="1141"/>
      <c r="AE228" s="1135"/>
      <c r="AF228" s="1141"/>
      <c r="AG228" s="1135"/>
      <c r="AH228" s="1141"/>
      <c r="AI228" s="1141"/>
      <c r="AJ228" s="1142"/>
      <c r="AK228" s="1137">
        <f t="shared" ref="AK228:AL246" si="13">SUM(E228,G228,I228)-SUM(K228,M228,O228,Q228,S228,U228,W228,Y228,AA228,AC228,AE228,AG228,AI228)</f>
        <v>0</v>
      </c>
      <c r="AL228" s="1137">
        <f t="shared" si="13"/>
        <v>0</v>
      </c>
    </row>
    <row r="229" spans="1:38" hidden="1" outlineLevel="2" x14ac:dyDescent="0.3">
      <c r="A229" s="1130"/>
      <c r="B229" s="1138"/>
      <c r="C229" s="1139"/>
      <c r="D229" s="1140"/>
      <c r="E229" s="1134"/>
      <c r="F229" s="1141"/>
      <c r="G229" s="1141"/>
      <c r="H229" s="1141"/>
      <c r="I229" s="1141"/>
      <c r="J229" s="1141"/>
      <c r="K229" s="1135"/>
      <c r="L229" s="1141"/>
      <c r="M229" s="1141"/>
      <c r="N229" s="1141"/>
      <c r="O229" s="1141"/>
      <c r="P229" s="1141"/>
      <c r="Q229" s="1141"/>
      <c r="R229" s="1141"/>
      <c r="S229" s="1141"/>
      <c r="T229" s="1141"/>
      <c r="U229" s="1135"/>
      <c r="V229" s="1141"/>
      <c r="W229" s="1141"/>
      <c r="X229" s="1141"/>
      <c r="Y229" s="1141"/>
      <c r="Z229" s="1141"/>
      <c r="AA229" s="1141"/>
      <c r="AB229" s="1141"/>
      <c r="AC229" s="1141"/>
      <c r="AD229" s="1141"/>
      <c r="AE229" s="1135"/>
      <c r="AF229" s="1141"/>
      <c r="AG229" s="1135"/>
      <c r="AH229" s="1141"/>
      <c r="AI229" s="1141"/>
      <c r="AJ229" s="1142"/>
      <c r="AK229" s="1137">
        <f t="shared" si="13"/>
        <v>0</v>
      </c>
      <c r="AL229" s="1137">
        <f t="shared" si="13"/>
        <v>0</v>
      </c>
    </row>
    <row r="230" spans="1:38" hidden="1" outlineLevel="2" x14ac:dyDescent="0.3">
      <c r="A230" s="1130"/>
      <c r="B230" s="1138"/>
      <c r="C230" s="1139"/>
      <c r="D230" s="1140"/>
      <c r="E230" s="1134"/>
      <c r="F230" s="1141"/>
      <c r="G230" s="1141"/>
      <c r="H230" s="1141"/>
      <c r="I230" s="1141"/>
      <c r="J230" s="1141"/>
      <c r="K230" s="1135"/>
      <c r="L230" s="1141"/>
      <c r="M230" s="1141"/>
      <c r="N230" s="1141"/>
      <c r="O230" s="1141"/>
      <c r="P230" s="1141"/>
      <c r="Q230" s="1141"/>
      <c r="R230" s="1141"/>
      <c r="S230" s="1141"/>
      <c r="T230" s="1141"/>
      <c r="U230" s="1135"/>
      <c r="V230" s="1141"/>
      <c r="W230" s="1141"/>
      <c r="X230" s="1141"/>
      <c r="Y230" s="1141"/>
      <c r="Z230" s="1141"/>
      <c r="AA230" s="1141"/>
      <c r="AB230" s="1141"/>
      <c r="AC230" s="1141"/>
      <c r="AD230" s="1141"/>
      <c r="AE230" s="1135"/>
      <c r="AF230" s="1141"/>
      <c r="AG230" s="1135"/>
      <c r="AH230" s="1141"/>
      <c r="AI230" s="1141"/>
      <c r="AJ230" s="1142"/>
      <c r="AK230" s="1137">
        <f t="shared" si="13"/>
        <v>0</v>
      </c>
      <c r="AL230" s="1137">
        <f t="shared" si="13"/>
        <v>0</v>
      </c>
    </row>
    <row r="231" spans="1:38" hidden="1" outlineLevel="2" x14ac:dyDescent="0.3">
      <c r="A231" s="1130"/>
      <c r="B231" s="1138"/>
      <c r="C231" s="1139"/>
      <c r="D231" s="1140"/>
      <c r="E231" s="1134"/>
      <c r="F231" s="1141"/>
      <c r="G231" s="1141"/>
      <c r="H231" s="1141"/>
      <c r="I231" s="1141"/>
      <c r="J231" s="1141"/>
      <c r="K231" s="1135"/>
      <c r="L231" s="1141"/>
      <c r="M231" s="1141"/>
      <c r="N231" s="1141"/>
      <c r="O231" s="1141"/>
      <c r="P231" s="1141"/>
      <c r="Q231" s="1141"/>
      <c r="R231" s="1141"/>
      <c r="S231" s="1141"/>
      <c r="T231" s="1141"/>
      <c r="U231" s="1135"/>
      <c r="V231" s="1141"/>
      <c r="W231" s="1141"/>
      <c r="X231" s="1141"/>
      <c r="Y231" s="1141"/>
      <c r="Z231" s="1141"/>
      <c r="AA231" s="1141"/>
      <c r="AB231" s="1141"/>
      <c r="AC231" s="1141"/>
      <c r="AD231" s="1141"/>
      <c r="AE231" s="1135"/>
      <c r="AF231" s="1141"/>
      <c r="AG231" s="1135"/>
      <c r="AH231" s="1141"/>
      <c r="AI231" s="1141"/>
      <c r="AJ231" s="1142"/>
      <c r="AK231" s="1137">
        <f t="shared" si="13"/>
        <v>0</v>
      </c>
      <c r="AL231" s="1137">
        <f t="shared" si="13"/>
        <v>0</v>
      </c>
    </row>
    <row r="232" spans="1:38" hidden="1" outlineLevel="2" x14ac:dyDescent="0.3">
      <c r="A232" s="1130"/>
      <c r="B232" s="1138"/>
      <c r="C232" s="1139"/>
      <c r="D232" s="1140"/>
      <c r="E232" s="1134"/>
      <c r="F232" s="1141"/>
      <c r="G232" s="1141"/>
      <c r="H232" s="1141"/>
      <c r="I232" s="1141"/>
      <c r="J232" s="1141"/>
      <c r="K232" s="1135"/>
      <c r="L232" s="1141"/>
      <c r="M232" s="1141"/>
      <c r="N232" s="1141"/>
      <c r="O232" s="1141"/>
      <c r="P232" s="1141"/>
      <c r="Q232" s="1141"/>
      <c r="R232" s="1141"/>
      <c r="S232" s="1141"/>
      <c r="T232" s="1141"/>
      <c r="U232" s="1135"/>
      <c r="V232" s="1141"/>
      <c r="W232" s="1141"/>
      <c r="X232" s="1141"/>
      <c r="Y232" s="1141"/>
      <c r="Z232" s="1141"/>
      <c r="AA232" s="1141"/>
      <c r="AB232" s="1141"/>
      <c r="AC232" s="1141"/>
      <c r="AD232" s="1141"/>
      <c r="AE232" s="1135"/>
      <c r="AF232" s="1141"/>
      <c r="AG232" s="1135"/>
      <c r="AH232" s="1141"/>
      <c r="AI232" s="1141"/>
      <c r="AJ232" s="1142"/>
      <c r="AK232" s="1137">
        <f t="shared" si="13"/>
        <v>0</v>
      </c>
      <c r="AL232" s="1137">
        <f t="shared" si="13"/>
        <v>0</v>
      </c>
    </row>
    <row r="233" spans="1:38" hidden="1" outlineLevel="2" x14ac:dyDescent="0.3">
      <c r="A233" s="1130"/>
      <c r="B233" s="1138"/>
      <c r="C233" s="1139"/>
      <c r="D233" s="1140"/>
      <c r="E233" s="1134"/>
      <c r="F233" s="1141"/>
      <c r="G233" s="1141"/>
      <c r="H233" s="1141"/>
      <c r="I233" s="1141"/>
      <c r="J233" s="1141"/>
      <c r="K233" s="1135"/>
      <c r="L233" s="1141"/>
      <c r="M233" s="1141"/>
      <c r="N233" s="1141"/>
      <c r="O233" s="1141"/>
      <c r="P233" s="1141"/>
      <c r="Q233" s="1141"/>
      <c r="R233" s="1141"/>
      <c r="S233" s="1141"/>
      <c r="T233" s="1141"/>
      <c r="U233" s="1135"/>
      <c r="V233" s="1141"/>
      <c r="W233" s="1141"/>
      <c r="X233" s="1141"/>
      <c r="Y233" s="1141"/>
      <c r="Z233" s="1141"/>
      <c r="AA233" s="1141"/>
      <c r="AB233" s="1141"/>
      <c r="AC233" s="1141"/>
      <c r="AD233" s="1141"/>
      <c r="AE233" s="1135"/>
      <c r="AF233" s="1141"/>
      <c r="AG233" s="1135"/>
      <c r="AH233" s="1141"/>
      <c r="AI233" s="1141"/>
      <c r="AJ233" s="1142"/>
      <c r="AK233" s="1137">
        <f t="shared" si="13"/>
        <v>0</v>
      </c>
      <c r="AL233" s="1137">
        <f t="shared" si="13"/>
        <v>0</v>
      </c>
    </row>
    <row r="234" spans="1:38" hidden="1" outlineLevel="2" x14ac:dyDescent="0.3">
      <c r="A234" s="1130"/>
      <c r="B234" s="1138"/>
      <c r="C234" s="1139"/>
      <c r="D234" s="1140"/>
      <c r="E234" s="1134"/>
      <c r="F234" s="1141"/>
      <c r="G234" s="1141"/>
      <c r="H234" s="1141"/>
      <c r="I234" s="1141"/>
      <c r="J234" s="1141"/>
      <c r="K234" s="1135"/>
      <c r="L234" s="1141"/>
      <c r="M234" s="1141"/>
      <c r="N234" s="1141"/>
      <c r="O234" s="1141"/>
      <c r="P234" s="1141"/>
      <c r="Q234" s="1141"/>
      <c r="R234" s="1141"/>
      <c r="S234" s="1141"/>
      <c r="T234" s="1141"/>
      <c r="U234" s="1135"/>
      <c r="V234" s="1141"/>
      <c r="W234" s="1141"/>
      <c r="X234" s="1141"/>
      <c r="Y234" s="1141"/>
      <c r="Z234" s="1141"/>
      <c r="AA234" s="1141"/>
      <c r="AB234" s="1141"/>
      <c r="AC234" s="1141"/>
      <c r="AD234" s="1141"/>
      <c r="AE234" s="1135"/>
      <c r="AF234" s="1141"/>
      <c r="AG234" s="1135"/>
      <c r="AH234" s="1141"/>
      <c r="AI234" s="1141"/>
      <c r="AJ234" s="1142"/>
      <c r="AK234" s="1137">
        <f t="shared" si="13"/>
        <v>0</v>
      </c>
      <c r="AL234" s="1137">
        <f t="shared" si="13"/>
        <v>0</v>
      </c>
    </row>
    <row r="235" spans="1:38" hidden="1" outlineLevel="2" x14ac:dyDescent="0.3">
      <c r="A235" s="1130"/>
      <c r="B235" s="1138"/>
      <c r="C235" s="1139"/>
      <c r="D235" s="1140"/>
      <c r="E235" s="1134"/>
      <c r="F235" s="1141"/>
      <c r="G235" s="1141"/>
      <c r="H235" s="1141"/>
      <c r="I235" s="1141"/>
      <c r="J235" s="1141"/>
      <c r="K235" s="1135"/>
      <c r="L235" s="1141"/>
      <c r="M235" s="1141"/>
      <c r="N235" s="1141"/>
      <c r="O235" s="1141"/>
      <c r="P235" s="1141"/>
      <c r="Q235" s="1141"/>
      <c r="R235" s="1141"/>
      <c r="S235" s="1141"/>
      <c r="T235" s="1141"/>
      <c r="U235" s="1135"/>
      <c r="V235" s="1141"/>
      <c r="W235" s="1141"/>
      <c r="X235" s="1141"/>
      <c r="Y235" s="1141"/>
      <c r="Z235" s="1141"/>
      <c r="AA235" s="1141"/>
      <c r="AB235" s="1141"/>
      <c r="AC235" s="1141"/>
      <c r="AD235" s="1141"/>
      <c r="AE235" s="1135"/>
      <c r="AF235" s="1141"/>
      <c r="AG235" s="1135"/>
      <c r="AH235" s="1141"/>
      <c r="AI235" s="1141"/>
      <c r="AJ235" s="1142"/>
      <c r="AK235" s="1137">
        <f t="shared" si="13"/>
        <v>0</v>
      </c>
      <c r="AL235" s="1137">
        <f t="shared" si="13"/>
        <v>0</v>
      </c>
    </row>
    <row r="236" spans="1:38" hidden="1" outlineLevel="2" x14ac:dyDescent="0.3">
      <c r="A236" s="1130"/>
      <c r="B236" s="1138"/>
      <c r="C236" s="1139"/>
      <c r="D236" s="1140"/>
      <c r="E236" s="1134"/>
      <c r="F236" s="1141"/>
      <c r="G236" s="1141"/>
      <c r="H236" s="1141"/>
      <c r="I236" s="1141"/>
      <c r="J236" s="1141"/>
      <c r="K236" s="1135"/>
      <c r="L236" s="1141"/>
      <c r="M236" s="1141"/>
      <c r="N236" s="1141"/>
      <c r="O236" s="1141"/>
      <c r="P236" s="1141"/>
      <c r="Q236" s="1141"/>
      <c r="R236" s="1141"/>
      <c r="S236" s="1141"/>
      <c r="T236" s="1141"/>
      <c r="U236" s="1135"/>
      <c r="V236" s="1141"/>
      <c r="W236" s="1141"/>
      <c r="X236" s="1141"/>
      <c r="Y236" s="1141"/>
      <c r="Z236" s="1141"/>
      <c r="AA236" s="1141"/>
      <c r="AB236" s="1141"/>
      <c r="AC236" s="1141"/>
      <c r="AD236" s="1141"/>
      <c r="AE236" s="1135"/>
      <c r="AF236" s="1141"/>
      <c r="AG236" s="1135"/>
      <c r="AH236" s="1141"/>
      <c r="AI236" s="1141"/>
      <c r="AJ236" s="1142"/>
      <c r="AK236" s="1137">
        <f t="shared" si="13"/>
        <v>0</v>
      </c>
      <c r="AL236" s="1137">
        <f t="shared" si="13"/>
        <v>0</v>
      </c>
    </row>
    <row r="237" spans="1:38" hidden="1" outlineLevel="2" x14ac:dyDescent="0.3">
      <c r="A237" s="1130"/>
      <c r="B237" s="1138"/>
      <c r="C237" s="1139"/>
      <c r="D237" s="1140"/>
      <c r="E237" s="1134"/>
      <c r="F237" s="1141"/>
      <c r="G237" s="1141"/>
      <c r="H237" s="1141"/>
      <c r="I237" s="1141"/>
      <c r="J237" s="1141"/>
      <c r="K237" s="1135"/>
      <c r="L237" s="1141"/>
      <c r="M237" s="1141"/>
      <c r="N237" s="1141"/>
      <c r="O237" s="1141"/>
      <c r="P237" s="1141"/>
      <c r="Q237" s="1141"/>
      <c r="R237" s="1141"/>
      <c r="S237" s="1141"/>
      <c r="T237" s="1141"/>
      <c r="U237" s="1135"/>
      <c r="V237" s="1141"/>
      <c r="W237" s="1141"/>
      <c r="X237" s="1141"/>
      <c r="Y237" s="1141"/>
      <c r="Z237" s="1141"/>
      <c r="AA237" s="1141"/>
      <c r="AB237" s="1141"/>
      <c r="AC237" s="1141"/>
      <c r="AD237" s="1141"/>
      <c r="AE237" s="1135"/>
      <c r="AF237" s="1141"/>
      <c r="AG237" s="1135"/>
      <c r="AH237" s="1141"/>
      <c r="AI237" s="1141"/>
      <c r="AJ237" s="1142"/>
      <c r="AK237" s="1137">
        <f t="shared" si="13"/>
        <v>0</v>
      </c>
      <c r="AL237" s="1137">
        <f t="shared" si="13"/>
        <v>0</v>
      </c>
    </row>
    <row r="238" spans="1:38" hidden="1" outlineLevel="2" x14ac:dyDescent="0.3">
      <c r="A238" s="1130"/>
      <c r="B238" s="1138"/>
      <c r="C238" s="1139"/>
      <c r="D238" s="1140"/>
      <c r="E238" s="1134"/>
      <c r="F238" s="1141"/>
      <c r="G238" s="1141"/>
      <c r="H238" s="1141"/>
      <c r="I238" s="1141"/>
      <c r="J238" s="1141"/>
      <c r="K238" s="1135"/>
      <c r="L238" s="1141"/>
      <c r="M238" s="1141"/>
      <c r="N238" s="1141"/>
      <c r="O238" s="1141"/>
      <c r="P238" s="1141"/>
      <c r="Q238" s="1141"/>
      <c r="R238" s="1141"/>
      <c r="S238" s="1141"/>
      <c r="T238" s="1141"/>
      <c r="U238" s="1135"/>
      <c r="V238" s="1141"/>
      <c r="W238" s="1141"/>
      <c r="X238" s="1141"/>
      <c r="Y238" s="1141"/>
      <c r="Z238" s="1141"/>
      <c r="AA238" s="1141"/>
      <c r="AB238" s="1141"/>
      <c r="AC238" s="1141"/>
      <c r="AD238" s="1141"/>
      <c r="AE238" s="1135"/>
      <c r="AF238" s="1141"/>
      <c r="AG238" s="1135"/>
      <c r="AH238" s="1141"/>
      <c r="AI238" s="1141"/>
      <c r="AJ238" s="1142"/>
      <c r="AK238" s="1137">
        <f t="shared" si="13"/>
        <v>0</v>
      </c>
      <c r="AL238" s="1137">
        <f t="shared" si="13"/>
        <v>0</v>
      </c>
    </row>
    <row r="239" spans="1:38" hidden="1" outlineLevel="2" x14ac:dyDescent="0.3">
      <c r="A239" s="1130"/>
      <c r="B239" s="1138"/>
      <c r="C239" s="1139"/>
      <c r="D239" s="1140"/>
      <c r="E239" s="1134"/>
      <c r="F239" s="1141"/>
      <c r="G239" s="1141"/>
      <c r="H239" s="1141"/>
      <c r="I239" s="1141"/>
      <c r="J239" s="1141"/>
      <c r="K239" s="1135"/>
      <c r="L239" s="1141"/>
      <c r="M239" s="1141"/>
      <c r="N239" s="1141"/>
      <c r="O239" s="1141"/>
      <c r="P239" s="1141"/>
      <c r="Q239" s="1141"/>
      <c r="R239" s="1141"/>
      <c r="S239" s="1141"/>
      <c r="T239" s="1141"/>
      <c r="U239" s="1135"/>
      <c r="V239" s="1141"/>
      <c r="W239" s="1141"/>
      <c r="X239" s="1141"/>
      <c r="Y239" s="1141"/>
      <c r="Z239" s="1141"/>
      <c r="AA239" s="1141"/>
      <c r="AB239" s="1141"/>
      <c r="AC239" s="1141"/>
      <c r="AD239" s="1141"/>
      <c r="AE239" s="1135"/>
      <c r="AF239" s="1141"/>
      <c r="AG239" s="1135"/>
      <c r="AH239" s="1141"/>
      <c r="AI239" s="1141"/>
      <c r="AJ239" s="1142"/>
      <c r="AK239" s="1137">
        <f t="shared" si="13"/>
        <v>0</v>
      </c>
      <c r="AL239" s="1137">
        <f t="shared" si="13"/>
        <v>0</v>
      </c>
    </row>
    <row r="240" spans="1:38" hidden="1" outlineLevel="2" x14ac:dyDescent="0.3">
      <c r="A240" s="1130"/>
      <c r="B240" s="1138"/>
      <c r="C240" s="1139"/>
      <c r="D240" s="1140"/>
      <c r="E240" s="1134"/>
      <c r="F240" s="1141"/>
      <c r="G240" s="1141"/>
      <c r="H240" s="1141"/>
      <c r="I240" s="1141"/>
      <c r="J240" s="1141"/>
      <c r="K240" s="1135"/>
      <c r="L240" s="1141"/>
      <c r="M240" s="1141"/>
      <c r="N240" s="1141"/>
      <c r="O240" s="1141"/>
      <c r="P240" s="1141"/>
      <c r="Q240" s="1141"/>
      <c r="R240" s="1141"/>
      <c r="S240" s="1141"/>
      <c r="T240" s="1141"/>
      <c r="U240" s="1135"/>
      <c r="V240" s="1141"/>
      <c r="W240" s="1141"/>
      <c r="X240" s="1141"/>
      <c r="Y240" s="1141"/>
      <c r="Z240" s="1141"/>
      <c r="AA240" s="1141"/>
      <c r="AB240" s="1141"/>
      <c r="AC240" s="1141"/>
      <c r="AD240" s="1141"/>
      <c r="AE240" s="1135"/>
      <c r="AF240" s="1141"/>
      <c r="AG240" s="1135"/>
      <c r="AH240" s="1141"/>
      <c r="AI240" s="1141"/>
      <c r="AJ240" s="1142"/>
      <c r="AK240" s="1137">
        <f t="shared" si="13"/>
        <v>0</v>
      </c>
      <c r="AL240" s="1137">
        <f t="shared" si="13"/>
        <v>0</v>
      </c>
    </row>
    <row r="241" spans="1:38" hidden="1" outlineLevel="2" x14ac:dyDescent="0.3">
      <c r="A241" s="1130"/>
      <c r="B241" s="1138"/>
      <c r="C241" s="1139"/>
      <c r="D241" s="1140"/>
      <c r="E241" s="1134"/>
      <c r="F241" s="1141"/>
      <c r="G241" s="1141"/>
      <c r="H241" s="1141"/>
      <c r="I241" s="1141"/>
      <c r="J241" s="1141"/>
      <c r="K241" s="1135"/>
      <c r="L241" s="1141"/>
      <c r="M241" s="1141"/>
      <c r="N241" s="1141"/>
      <c r="O241" s="1141"/>
      <c r="P241" s="1141"/>
      <c r="Q241" s="1141"/>
      <c r="R241" s="1141"/>
      <c r="S241" s="1141"/>
      <c r="T241" s="1141"/>
      <c r="U241" s="1135"/>
      <c r="V241" s="1141"/>
      <c r="W241" s="1141"/>
      <c r="X241" s="1141"/>
      <c r="Y241" s="1141"/>
      <c r="Z241" s="1141"/>
      <c r="AA241" s="1141"/>
      <c r="AB241" s="1141"/>
      <c r="AC241" s="1141"/>
      <c r="AD241" s="1141"/>
      <c r="AE241" s="1135"/>
      <c r="AF241" s="1141"/>
      <c r="AG241" s="1135"/>
      <c r="AH241" s="1141"/>
      <c r="AI241" s="1141"/>
      <c r="AJ241" s="1142"/>
      <c r="AK241" s="1137">
        <f t="shared" si="13"/>
        <v>0</v>
      </c>
      <c r="AL241" s="1137">
        <f t="shared" si="13"/>
        <v>0</v>
      </c>
    </row>
    <row r="242" spans="1:38" hidden="1" outlineLevel="2" x14ac:dyDescent="0.3">
      <c r="A242" s="1130"/>
      <c r="B242" s="1138"/>
      <c r="C242" s="1139"/>
      <c r="D242" s="1140"/>
      <c r="E242" s="1134"/>
      <c r="F242" s="1141"/>
      <c r="G242" s="1141"/>
      <c r="H242" s="1141"/>
      <c r="I242" s="1141"/>
      <c r="J242" s="1141"/>
      <c r="K242" s="1135"/>
      <c r="L242" s="1141"/>
      <c r="M242" s="1141"/>
      <c r="N242" s="1141"/>
      <c r="O242" s="1141"/>
      <c r="P242" s="1141"/>
      <c r="Q242" s="1141"/>
      <c r="R242" s="1141"/>
      <c r="S242" s="1141"/>
      <c r="T242" s="1141"/>
      <c r="U242" s="1135"/>
      <c r="V242" s="1141"/>
      <c r="W242" s="1141"/>
      <c r="X242" s="1141"/>
      <c r="Y242" s="1141"/>
      <c r="Z242" s="1141"/>
      <c r="AA242" s="1141"/>
      <c r="AB242" s="1141"/>
      <c r="AC242" s="1141"/>
      <c r="AD242" s="1141"/>
      <c r="AE242" s="1135"/>
      <c r="AF242" s="1141"/>
      <c r="AG242" s="1135"/>
      <c r="AH242" s="1141"/>
      <c r="AI242" s="1141"/>
      <c r="AJ242" s="1142"/>
      <c r="AK242" s="1137">
        <f t="shared" si="13"/>
        <v>0</v>
      </c>
      <c r="AL242" s="1137">
        <f t="shared" si="13"/>
        <v>0</v>
      </c>
    </row>
    <row r="243" spans="1:38" hidden="1" outlineLevel="2" x14ac:dyDescent="0.3">
      <c r="A243" s="1130"/>
      <c r="B243" s="1138"/>
      <c r="C243" s="1139"/>
      <c r="D243" s="1140"/>
      <c r="E243" s="1134"/>
      <c r="F243" s="1141"/>
      <c r="G243" s="1141"/>
      <c r="H243" s="1141"/>
      <c r="I243" s="1141"/>
      <c r="J243" s="1141"/>
      <c r="K243" s="1135"/>
      <c r="L243" s="1141"/>
      <c r="M243" s="1141"/>
      <c r="N243" s="1141"/>
      <c r="O243" s="1141"/>
      <c r="P243" s="1141"/>
      <c r="Q243" s="1141"/>
      <c r="R243" s="1141"/>
      <c r="S243" s="1141"/>
      <c r="T243" s="1141"/>
      <c r="U243" s="1135"/>
      <c r="V243" s="1141"/>
      <c r="W243" s="1141"/>
      <c r="X243" s="1141"/>
      <c r="Y243" s="1141"/>
      <c r="Z243" s="1141"/>
      <c r="AA243" s="1141"/>
      <c r="AB243" s="1141"/>
      <c r="AC243" s="1141"/>
      <c r="AD243" s="1141"/>
      <c r="AE243" s="1135"/>
      <c r="AF243" s="1141"/>
      <c r="AG243" s="1135"/>
      <c r="AH243" s="1141"/>
      <c r="AI243" s="1141"/>
      <c r="AJ243" s="1142"/>
      <c r="AK243" s="1137">
        <f t="shared" si="13"/>
        <v>0</v>
      </c>
      <c r="AL243" s="1137">
        <f t="shared" si="13"/>
        <v>0</v>
      </c>
    </row>
    <row r="244" spans="1:38" hidden="1" outlineLevel="2" x14ac:dyDescent="0.3">
      <c r="A244" s="1130"/>
      <c r="B244" s="1138"/>
      <c r="C244" s="1139"/>
      <c r="D244" s="1140"/>
      <c r="E244" s="1134"/>
      <c r="F244" s="1141"/>
      <c r="G244" s="1141"/>
      <c r="H244" s="1141"/>
      <c r="I244" s="1141"/>
      <c r="J244" s="1141"/>
      <c r="K244" s="1135"/>
      <c r="L244" s="1141"/>
      <c r="M244" s="1141"/>
      <c r="N244" s="1141"/>
      <c r="O244" s="1141"/>
      <c r="P244" s="1141"/>
      <c r="Q244" s="1141"/>
      <c r="R244" s="1141"/>
      <c r="S244" s="1141"/>
      <c r="T244" s="1141"/>
      <c r="U244" s="1135"/>
      <c r="V244" s="1141"/>
      <c r="W244" s="1141"/>
      <c r="X244" s="1141"/>
      <c r="Y244" s="1141"/>
      <c r="Z244" s="1141"/>
      <c r="AA244" s="1141"/>
      <c r="AB244" s="1141"/>
      <c r="AC244" s="1141"/>
      <c r="AD244" s="1141"/>
      <c r="AE244" s="1135"/>
      <c r="AF244" s="1141"/>
      <c r="AG244" s="1135"/>
      <c r="AH244" s="1141"/>
      <c r="AI244" s="1141"/>
      <c r="AJ244" s="1142"/>
      <c r="AK244" s="1137">
        <f t="shared" si="13"/>
        <v>0</v>
      </c>
      <c r="AL244" s="1137">
        <f t="shared" si="13"/>
        <v>0</v>
      </c>
    </row>
    <row r="245" spans="1:38" hidden="1" outlineLevel="2" x14ac:dyDescent="0.3">
      <c r="A245" s="1130"/>
      <c r="B245" s="1138"/>
      <c r="C245" s="1139"/>
      <c r="D245" s="1140"/>
      <c r="E245" s="1134"/>
      <c r="F245" s="1141"/>
      <c r="G245" s="1141"/>
      <c r="H245" s="1141"/>
      <c r="I245" s="1141"/>
      <c r="J245" s="1141"/>
      <c r="K245" s="1135"/>
      <c r="L245" s="1141"/>
      <c r="M245" s="1141"/>
      <c r="N245" s="1141"/>
      <c r="O245" s="1141"/>
      <c r="P245" s="1141"/>
      <c r="Q245" s="1141"/>
      <c r="R245" s="1141"/>
      <c r="S245" s="1141"/>
      <c r="T245" s="1141"/>
      <c r="U245" s="1135"/>
      <c r="V245" s="1141"/>
      <c r="W245" s="1141"/>
      <c r="X245" s="1141"/>
      <c r="Y245" s="1141"/>
      <c r="Z245" s="1141"/>
      <c r="AA245" s="1141"/>
      <c r="AB245" s="1141"/>
      <c r="AC245" s="1141"/>
      <c r="AD245" s="1141"/>
      <c r="AE245" s="1135"/>
      <c r="AF245" s="1141"/>
      <c r="AG245" s="1135"/>
      <c r="AH245" s="1141"/>
      <c r="AI245" s="1141"/>
      <c r="AJ245" s="1142"/>
      <c r="AK245" s="1137">
        <f t="shared" si="13"/>
        <v>0</v>
      </c>
      <c r="AL245" s="1137">
        <f t="shared" si="13"/>
        <v>0</v>
      </c>
    </row>
    <row r="246" spans="1:38" hidden="1" outlineLevel="2" x14ac:dyDescent="0.3">
      <c r="A246" s="1130"/>
      <c r="B246" s="1138"/>
      <c r="C246" s="1139"/>
      <c r="D246" s="1140"/>
      <c r="E246" s="1143"/>
      <c r="F246" s="1141"/>
      <c r="G246" s="1141"/>
      <c r="H246" s="1141"/>
      <c r="I246" s="1141"/>
      <c r="J246" s="1141"/>
      <c r="K246" s="1141"/>
      <c r="L246" s="1141"/>
      <c r="M246" s="1141"/>
      <c r="N246" s="1141"/>
      <c r="O246" s="1141"/>
      <c r="P246" s="1141"/>
      <c r="Q246" s="1141"/>
      <c r="R246" s="1141"/>
      <c r="S246" s="1141"/>
      <c r="T246" s="1141"/>
      <c r="U246" s="1135"/>
      <c r="V246" s="1141"/>
      <c r="W246" s="1141"/>
      <c r="X246" s="1141"/>
      <c r="Y246" s="1141"/>
      <c r="Z246" s="1141"/>
      <c r="AA246" s="1141"/>
      <c r="AB246" s="1141"/>
      <c r="AC246" s="1141"/>
      <c r="AD246" s="1141"/>
      <c r="AE246" s="1135"/>
      <c r="AF246" s="1141"/>
      <c r="AG246" s="1135"/>
      <c r="AH246" s="1141"/>
      <c r="AI246" s="1141"/>
      <c r="AJ246" s="1142"/>
      <c r="AK246" s="1137">
        <f t="shared" si="13"/>
        <v>0</v>
      </c>
      <c r="AL246" s="1144">
        <f t="shared" si="13"/>
        <v>0</v>
      </c>
    </row>
    <row r="247" spans="1:38" hidden="1" outlineLevel="2" x14ac:dyDescent="0.3">
      <c r="A247" s="1130"/>
      <c r="B247" s="1138"/>
      <c r="C247" s="1139"/>
      <c r="D247" s="1140"/>
      <c r="E247" s="1143"/>
      <c r="F247" s="1141"/>
      <c r="G247" s="1141"/>
      <c r="H247" s="1141"/>
      <c r="I247" s="1141"/>
      <c r="J247" s="1141"/>
      <c r="K247" s="1141"/>
      <c r="L247" s="1141"/>
      <c r="M247" s="1141"/>
      <c r="N247" s="1141"/>
      <c r="O247" s="1141"/>
      <c r="P247" s="1141"/>
      <c r="Q247" s="1141"/>
      <c r="R247" s="1141"/>
      <c r="S247" s="1141"/>
      <c r="T247" s="1141"/>
      <c r="U247" s="1141"/>
      <c r="V247" s="1141"/>
      <c r="W247" s="1141"/>
      <c r="X247" s="1141"/>
      <c r="Y247" s="1141"/>
      <c r="Z247" s="1141"/>
      <c r="AA247" s="1141"/>
      <c r="AB247" s="1141"/>
      <c r="AC247" s="1141"/>
      <c r="AD247" s="1141"/>
      <c r="AE247" s="1141"/>
      <c r="AF247" s="1141"/>
      <c r="AG247" s="1141"/>
      <c r="AH247" s="1141"/>
      <c r="AI247" s="1141"/>
      <c r="AJ247" s="1142"/>
      <c r="AK247" s="1142">
        <f t="shared" ref="AK247:AL268" si="14">SUM(E247,G247,I247)-SUM(K247,M247,O247,Q247,S247,U247,W247,Y247,AA247,AC247,AE247,AG247,AI247)</f>
        <v>0</v>
      </c>
      <c r="AL247" s="1144">
        <f t="shared" si="14"/>
        <v>0</v>
      </c>
    </row>
    <row r="248" spans="1:38" ht="15" outlineLevel="1" collapsed="1" thickBot="1" x14ac:dyDescent="0.35">
      <c r="A248" s="1130"/>
      <c r="B248" s="1145" t="s">
        <v>550</v>
      </c>
      <c r="C248" s="1146"/>
      <c r="D248" s="1147"/>
      <c r="E248" s="1148">
        <f t="shared" ref="E248:AJ248" si="15">SUBTOTAL(9,E196:E247)</f>
        <v>0</v>
      </c>
      <c r="F248" s="1149">
        <f t="shared" si="15"/>
        <v>0</v>
      </c>
      <c r="G248" s="1149">
        <f t="shared" si="15"/>
        <v>0</v>
      </c>
      <c r="H248" s="1149">
        <f t="shared" si="15"/>
        <v>0</v>
      </c>
      <c r="I248" s="1149">
        <f t="shared" si="15"/>
        <v>0</v>
      </c>
      <c r="J248" s="1149">
        <f t="shared" si="15"/>
        <v>0</v>
      </c>
      <c r="K248" s="1149">
        <f t="shared" si="15"/>
        <v>0</v>
      </c>
      <c r="L248" s="1149">
        <f t="shared" si="15"/>
        <v>0</v>
      </c>
      <c r="M248" s="1149">
        <f t="shared" si="15"/>
        <v>0</v>
      </c>
      <c r="N248" s="1149">
        <f t="shared" si="15"/>
        <v>0</v>
      </c>
      <c r="O248" s="1149">
        <f t="shared" si="15"/>
        <v>0</v>
      </c>
      <c r="P248" s="1149">
        <f t="shared" si="15"/>
        <v>0</v>
      </c>
      <c r="Q248" s="1149">
        <f t="shared" si="15"/>
        <v>0</v>
      </c>
      <c r="R248" s="1149">
        <f t="shared" si="15"/>
        <v>0</v>
      </c>
      <c r="S248" s="1149">
        <f t="shared" si="15"/>
        <v>0</v>
      </c>
      <c r="T248" s="1149">
        <f t="shared" si="15"/>
        <v>0</v>
      </c>
      <c r="U248" s="1149">
        <f t="shared" si="15"/>
        <v>0</v>
      </c>
      <c r="V248" s="1149">
        <f t="shared" si="15"/>
        <v>0</v>
      </c>
      <c r="W248" s="1149">
        <f t="shared" si="15"/>
        <v>0</v>
      </c>
      <c r="X248" s="1149">
        <f t="shared" si="15"/>
        <v>0</v>
      </c>
      <c r="Y248" s="1149">
        <f t="shared" si="15"/>
        <v>0</v>
      </c>
      <c r="Z248" s="1149">
        <f t="shared" si="15"/>
        <v>0</v>
      </c>
      <c r="AA248" s="1149">
        <f t="shared" si="15"/>
        <v>0</v>
      </c>
      <c r="AB248" s="1149">
        <f t="shared" si="15"/>
        <v>0</v>
      </c>
      <c r="AC248" s="1149">
        <f t="shared" si="15"/>
        <v>0</v>
      </c>
      <c r="AD248" s="1149">
        <f t="shared" si="15"/>
        <v>0</v>
      </c>
      <c r="AE248" s="1149">
        <f t="shared" si="15"/>
        <v>0</v>
      </c>
      <c r="AF248" s="1149">
        <f t="shared" si="15"/>
        <v>0</v>
      </c>
      <c r="AG248" s="1149">
        <f t="shared" si="15"/>
        <v>0</v>
      </c>
      <c r="AH248" s="1149">
        <f t="shared" si="15"/>
        <v>0</v>
      </c>
      <c r="AI248" s="1149">
        <f t="shared" si="15"/>
        <v>0</v>
      </c>
      <c r="AJ248" s="1149">
        <f t="shared" si="15"/>
        <v>0</v>
      </c>
      <c r="AK248" s="1149">
        <f t="shared" si="14"/>
        <v>0</v>
      </c>
      <c r="AL248" s="1149">
        <f t="shared" si="14"/>
        <v>0</v>
      </c>
    </row>
    <row r="249" spans="1:38" ht="36" outlineLevel="1" x14ac:dyDescent="0.35">
      <c r="A249" s="1150" t="s">
        <v>1460</v>
      </c>
      <c r="B249" s="1151"/>
      <c r="C249" s="1152"/>
      <c r="D249" s="1153"/>
      <c r="E249" s="1154"/>
      <c r="F249" s="1155"/>
      <c r="G249" s="1155"/>
      <c r="H249" s="1155"/>
      <c r="I249" s="1155"/>
      <c r="J249" s="1155"/>
      <c r="K249" s="1155"/>
      <c r="L249" s="1155"/>
      <c r="M249" s="1155"/>
      <c r="N249" s="1155"/>
      <c r="O249" s="1155"/>
      <c r="P249" s="1155"/>
      <c r="Q249" s="1155"/>
      <c r="R249" s="1155"/>
      <c r="S249" s="1155"/>
      <c r="T249" s="1155"/>
      <c r="U249" s="1155"/>
      <c r="V249" s="1155"/>
      <c r="W249" s="1155"/>
      <c r="X249" s="1155"/>
      <c r="Y249" s="1155"/>
      <c r="Z249" s="1155"/>
      <c r="AA249" s="1155"/>
      <c r="AB249" s="1155"/>
      <c r="AC249" s="1155"/>
      <c r="AD249" s="1155"/>
      <c r="AE249" s="1155"/>
      <c r="AF249" s="1155"/>
      <c r="AG249" s="1155"/>
      <c r="AH249" s="1155"/>
      <c r="AI249" s="1155"/>
      <c r="AJ249" s="1156"/>
      <c r="AK249" s="1156">
        <f t="shared" si="14"/>
        <v>0</v>
      </c>
      <c r="AL249" s="1157">
        <f t="shared" si="14"/>
        <v>0</v>
      </c>
    </row>
    <row r="250" spans="1:38" hidden="1" outlineLevel="2" x14ac:dyDescent="0.3">
      <c r="A250" s="1158"/>
      <c r="B250" s="1159"/>
      <c r="C250" s="1160"/>
      <c r="D250" s="1161"/>
      <c r="E250" s="1162"/>
      <c r="F250" s="1163"/>
      <c r="G250" s="1163"/>
      <c r="H250" s="1163"/>
      <c r="I250" s="1163"/>
      <c r="J250" s="1163"/>
      <c r="K250" s="1163"/>
      <c r="L250" s="1163"/>
      <c r="M250" s="1163"/>
      <c r="N250" s="1163"/>
      <c r="O250" s="1163"/>
      <c r="P250" s="1163"/>
      <c r="Q250" s="1163"/>
      <c r="R250" s="1163"/>
      <c r="S250" s="1163"/>
      <c r="T250" s="1163"/>
      <c r="U250" s="1163"/>
      <c r="V250" s="1163"/>
      <c r="W250" s="1163"/>
      <c r="X250" s="1163"/>
      <c r="Y250" s="1163"/>
      <c r="Z250" s="1163"/>
      <c r="AA250" s="1163"/>
      <c r="AB250" s="1163"/>
      <c r="AC250" s="1163"/>
      <c r="AD250" s="1163"/>
      <c r="AE250" s="1163"/>
      <c r="AF250" s="1163"/>
      <c r="AG250" s="1163"/>
      <c r="AH250" s="1163"/>
      <c r="AI250" s="1163"/>
      <c r="AJ250" s="1164"/>
      <c r="AK250" s="1164">
        <f t="shared" si="14"/>
        <v>0</v>
      </c>
      <c r="AL250" s="1165">
        <f t="shared" si="14"/>
        <v>0</v>
      </c>
    </row>
    <row r="251" spans="1:38" hidden="1" outlineLevel="2" x14ac:dyDescent="0.3">
      <c r="A251" s="1158"/>
      <c r="B251" s="1159"/>
      <c r="C251" s="1160"/>
      <c r="D251" s="1161"/>
      <c r="E251" s="1162"/>
      <c r="F251" s="1163"/>
      <c r="G251" s="1163"/>
      <c r="H251" s="1163"/>
      <c r="I251" s="1163"/>
      <c r="J251" s="1163"/>
      <c r="K251" s="1163"/>
      <c r="L251" s="1163"/>
      <c r="M251" s="1163"/>
      <c r="N251" s="1163"/>
      <c r="O251" s="1163"/>
      <c r="P251" s="1163"/>
      <c r="Q251" s="1163"/>
      <c r="R251" s="1163"/>
      <c r="S251" s="1163"/>
      <c r="T251" s="1163"/>
      <c r="U251" s="1163"/>
      <c r="V251" s="1163"/>
      <c r="W251" s="1163"/>
      <c r="X251" s="1163"/>
      <c r="Y251" s="1163"/>
      <c r="Z251" s="1163"/>
      <c r="AA251" s="1163"/>
      <c r="AB251" s="1163"/>
      <c r="AC251" s="1163"/>
      <c r="AD251" s="1163"/>
      <c r="AE251" s="1163"/>
      <c r="AF251" s="1163"/>
      <c r="AG251" s="1163"/>
      <c r="AH251" s="1163"/>
      <c r="AI251" s="1163"/>
      <c r="AJ251" s="1164"/>
      <c r="AK251" s="1164">
        <f t="shared" si="14"/>
        <v>0</v>
      </c>
      <c r="AL251" s="1165">
        <f t="shared" si="14"/>
        <v>0</v>
      </c>
    </row>
    <row r="252" spans="1:38" hidden="1" outlineLevel="2" x14ac:dyDescent="0.3">
      <c r="A252" s="1158"/>
      <c r="B252" s="1159"/>
      <c r="C252" s="1160"/>
      <c r="D252" s="1161"/>
      <c r="E252" s="1162"/>
      <c r="F252" s="1163"/>
      <c r="G252" s="1163"/>
      <c r="H252" s="1163"/>
      <c r="I252" s="1163"/>
      <c r="J252" s="1163"/>
      <c r="K252" s="1163"/>
      <c r="L252" s="1163"/>
      <c r="M252" s="1163"/>
      <c r="N252" s="1163"/>
      <c r="O252" s="1163"/>
      <c r="P252" s="1163"/>
      <c r="Q252" s="1163"/>
      <c r="R252" s="1163"/>
      <c r="S252" s="1163"/>
      <c r="T252" s="1163"/>
      <c r="U252" s="1163"/>
      <c r="V252" s="1163"/>
      <c r="W252" s="1163"/>
      <c r="X252" s="1163"/>
      <c r="Y252" s="1163"/>
      <c r="Z252" s="1163"/>
      <c r="AA252" s="1163"/>
      <c r="AB252" s="1163"/>
      <c r="AC252" s="1163"/>
      <c r="AD252" s="1163"/>
      <c r="AE252" s="1163"/>
      <c r="AF252" s="1163"/>
      <c r="AG252" s="1163"/>
      <c r="AH252" s="1163"/>
      <c r="AI252" s="1163"/>
      <c r="AJ252" s="1164"/>
      <c r="AK252" s="1164">
        <f t="shared" si="14"/>
        <v>0</v>
      </c>
      <c r="AL252" s="1165">
        <f t="shared" si="14"/>
        <v>0</v>
      </c>
    </row>
    <row r="253" spans="1:38" hidden="1" outlineLevel="2" x14ac:dyDescent="0.3">
      <c r="A253" s="1158"/>
      <c r="B253" s="1159"/>
      <c r="C253" s="1167"/>
      <c r="D253" s="1168"/>
      <c r="E253" s="1169"/>
      <c r="F253" s="1170"/>
      <c r="G253" s="1170"/>
      <c r="H253" s="1170"/>
      <c r="I253" s="1170"/>
      <c r="J253" s="1170"/>
      <c r="K253" s="1170"/>
      <c r="L253" s="1170"/>
      <c r="M253" s="1170"/>
      <c r="N253" s="1170"/>
      <c r="O253" s="1170"/>
      <c r="P253" s="1170"/>
      <c r="Q253" s="1170"/>
      <c r="R253" s="1170"/>
      <c r="S253" s="1170"/>
      <c r="T253" s="1170"/>
      <c r="U253" s="1170"/>
      <c r="V253" s="1170"/>
      <c r="W253" s="1170"/>
      <c r="X253" s="1170"/>
      <c r="Y253" s="1170"/>
      <c r="Z253" s="1170"/>
      <c r="AA253" s="1170"/>
      <c r="AB253" s="1170"/>
      <c r="AC253" s="1170"/>
      <c r="AD253" s="1170"/>
      <c r="AE253" s="1170"/>
      <c r="AF253" s="1170"/>
      <c r="AG253" s="1170"/>
      <c r="AH253" s="1170"/>
      <c r="AI253" s="1170"/>
      <c r="AJ253" s="1171"/>
      <c r="AK253" s="1171">
        <f t="shared" si="14"/>
        <v>0</v>
      </c>
      <c r="AL253" s="1172">
        <f t="shared" si="14"/>
        <v>0</v>
      </c>
    </row>
    <row r="254" spans="1:38" hidden="1" outlineLevel="2" x14ac:dyDescent="0.3">
      <c r="A254" s="1158"/>
      <c r="B254" s="1166"/>
      <c r="C254" s="1167"/>
      <c r="D254" s="1168"/>
      <c r="E254" s="1169"/>
      <c r="F254" s="1170"/>
      <c r="G254" s="1170"/>
      <c r="H254" s="1170"/>
      <c r="I254" s="1170"/>
      <c r="J254" s="1170"/>
      <c r="K254" s="1170"/>
      <c r="L254" s="1170"/>
      <c r="M254" s="1170"/>
      <c r="N254" s="1170"/>
      <c r="O254" s="1170"/>
      <c r="P254" s="1170"/>
      <c r="Q254" s="1170"/>
      <c r="R254" s="1170"/>
      <c r="S254" s="1170"/>
      <c r="T254" s="1170"/>
      <c r="U254" s="1170"/>
      <c r="V254" s="1170"/>
      <c r="W254" s="1170"/>
      <c r="X254" s="1170"/>
      <c r="Y254" s="1170"/>
      <c r="Z254" s="1170"/>
      <c r="AA254" s="1170"/>
      <c r="AB254" s="1170"/>
      <c r="AC254" s="1170"/>
      <c r="AD254" s="1170"/>
      <c r="AE254" s="1170"/>
      <c r="AF254" s="1170"/>
      <c r="AG254" s="1170"/>
      <c r="AH254" s="1170"/>
      <c r="AI254" s="1170"/>
      <c r="AJ254" s="1171"/>
      <c r="AK254" s="1171">
        <f t="shared" si="14"/>
        <v>0</v>
      </c>
      <c r="AL254" s="1172">
        <f t="shared" si="14"/>
        <v>0</v>
      </c>
    </row>
    <row r="255" spans="1:38" hidden="1" outlineLevel="2" x14ac:dyDescent="0.3">
      <c r="A255" s="1158"/>
      <c r="B255" s="1166"/>
      <c r="C255" s="1167"/>
      <c r="D255" s="1168"/>
      <c r="E255" s="1169"/>
      <c r="F255" s="1170"/>
      <c r="G255" s="1170"/>
      <c r="H255" s="1170"/>
      <c r="I255" s="1170"/>
      <c r="J255" s="1170"/>
      <c r="K255" s="1170"/>
      <c r="L255" s="1170"/>
      <c r="M255" s="1170"/>
      <c r="N255" s="1170"/>
      <c r="O255" s="1170"/>
      <c r="P255" s="1170"/>
      <c r="Q255" s="1170"/>
      <c r="R255" s="1170"/>
      <c r="S255" s="1170"/>
      <c r="T255" s="1170"/>
      <c r="U255" s="1170"/>
      <c r="V255" s="1170"/>
      <c r="W255" s="1170"/>
      <c r="X255" s="1170"/>
      <c r="Y255" s="1170"/>
      <c r="Z255" s="1170"/>
      <c r="AA255" s="1170"/>
      <c r="AB255" s="1170"/>
      <c r="AC255" s="1170"/>
      <c r="AD255" s="1170"/>
      <c r="AE255" s="1170"/>
      <c r="AF255" s="1170"/>
      <c r="AG255" s="1170"/>
      <c r="AH255" s="1170"/>
      <c r="AI255" s="1170"/>
      <c r="AJ255" s="1171"/>
      <c r="AK255" s="1171">
        <f t="shared" si="14"/>
        <v>0</v>
      </c>
      <c r="AL255" s="1172">
        <f t="shared" si="14"/>
        <v>0</v>
      </c>
    </row>
    <row r="256" spans="1:38" hidden="1" outlineLevel="2" x14ac:dyDescent="0.3">
      <c r="A256" s="1158"/>
      <c r="B256" s="1166"/>
      <c r="C256" s="1167"/>
      <c r="D256" s="1168"/>
      <c r="E256" s="1169"/>
      <c r="F256" s="1170"/>
      <c r="G256" s="1170"/>
      <c r="H256" s="1170"/>
      <c r="I256" s="1170"/>
      <c r="J256" s="1170"/>
      <c r="K256" s="1170"/>
      <c r="L256" s="1170"/>
      <c r="M256" s="1170"/>
      <c r="N256" s="1170"/>
      <c r="O256" s="1170"/>
      <c r="P256" s="1170"/>
      <c r="Q256" s="1170"/>
      <c r="R256" s="1170"/>
      <c r="S256" s="1170"/>
      <c r="T256" s="1170"/>
      <c r="U256" s="1170"/>
      <c r="V256" s="1170"/>
      <c r="W256" s="1170"/>
      <c r="X256" s="1170"/>
      <c r="Y256" s="1170"/>
      <c r="Z256" s="1170"/>
      <c r="AA256" s="1170"/>
      <c r="AB256" s="1170"/>
      <c r="AC256" s="1170"/>
      <c r="AD256" s="1170"/>
      <c r="AE256" s="1170"/>
      <c r="AF256" s="1170"/>
      <c r="AG256" s="1170"/>
      <c r="AH256" s="1170"/>
      <c r="AI256" s="1170"/>
      <c r="AJ256" s="1171"/>
      <c r="AK256" s="1171">
        <f t="shared" si="14"/>
        <v>0</v>
      </c>
      <c r="AL256" s="1172">
        <f t="shared" si="14"/>
        <v>0</v>
      </c>
    </row>
    <row r="257" spans="1:38" hidden="1" outlineLevel="2" x14ac:dyDescent="0.3">
      <c r="A257" s="1158"/>
      <c r="B257" s="1166"/>
      <c r="C257" s="1167"/>
      <c r="D257" s="1168"/>
      <c r="E257" s="1169"/>
      <c r="F257" s="1170"/>
      <c r="G257" s="1170"/>
      <c r="H257" s="1170"/>
      <c r="I257" s="1170"/>
      <c r="J257" s="1170"/>
      <c r="K257" s="1170"/>
      <c r="L257" s="1170"/>
      <c r="M257" s="1170"/>
      <c r="N257" s="1170"/>
      <c r="O257" s="1170"/>
      <c r="P257" s="1170"/>
      <c r="Q257" s="1170"/>
      <c r="R257" s="1170"/>
      <c r="S257" s="1170"/>
      <c r="T257" s="1170"/>
      <c r="U257" s="1170"/>
      <c r="V257" s="1170"/>
      <c r="W257" s="1170"/>
      <c r="X257" s="1170"/>
      <c r="Y257" s="1170"/>
      <c r="Z257" s="1170"/>
      <c r="AA257" s="1170"/>
      <c r="AB257" s="1170"/>
      <c r="AC257" s="1170"/>
      <c r="AD257" s="1170"/>
      <c r="AE257" s="1170"/>
      <c r="AF257" s="1170"/>
      <c r="AG257" s="1170"/>
      <c r="AH257" s="1170"/>
      <c r="AI257" s="1170"/>
      <c r="AJ257" s="1171"/>
      <c r="AK257" s="1171">
        <f t="shared" si="14"/>
        <v>0</v>
      </c>
      <c r="AL257" s="1172">
        <f t="shared" si="14"/>
        <v>0</v>
      </c>
    </row>
    <row r="258" spans="1:38" hidden="1" outlineLevel="2" x14ac:dyDescent="0.3">
      <c r="A258" s="1158"/>
      <c r="B258" s="1166"/>
      <c r="C258" s="1167"/>
      <c r="D258" s="1168"/>
      <c r="E258" s="1169"/>
      <c r="F258" s="1170"/>
      <c r="G258" s="1170"/>
      <c r="H258" s="1170"/>
      <c r="I258" s="1170"/>
      <c r="J258" s="1170"/>
      <c r="K258" s="1170"/>
      <c r="L258" s="1170"/>
      <c r="M258" s="1170"/>
      <c r="N258" s="1170"/>
      <c r="O258" s="1170"/>
      <c r="P258" s="1170"/>
      <c r="Q258" s="1170"/>
      <c r="R258" s="1170"/>
      <c r="S258" s="1170"/>
      <c r="T258" s="1170"/>
      <c r="U258" s="1170"/>
      <c r="V258" s="1170"/>
      <c r="W258" s="1170"/>
      <c r="X258" s="1170"/>
      <c r="Y258" s="1170"/>
      <c r="Z258" s="1170"/>
      <c r="AA258" s="1170"/>
      <c r="AB258" s="1170"/>
      <c r="AC258" s="1170"/>
      <c r="AD258" s="1170"/>
      <c r="AE258" s="1170"/>
      <c r="AF258" s="1170"/>
      <c r="AG258" s="1170"/>
      <c r="AH258" s="1170"/>
      <c r="AI258" s="1170"/>
      <c r="AJ258" s="1171"/>
      <c r="AK258" s="1171">
        <f t="shared" si="14"/>
        <v>0</v>
      </c>
      <c r="AL258" s="1172">
        <f t="shared" si="14"/>
        <v>0</v>
      </c>
    </row>
    <row r="259" spans="1:38" ht="15" outlineLevel="1" collapsed="1" thickBot="1" x14ac:dyDescent="0.35">
      <c r="A259" s="1158"/>
      <c r="B259" s="1173" t="s">
        <v>550</v>
      </c>
      <c r="C259" s="1174"/>
      <c r="D259" s="1175"/>
      <c r="E259" s="1176">
        <f>SUBTOTAL(9,E250:E252)</f>
        <v>0</v>
      </c>
      <c r="F259" s="1177"/>
      <c r="G259" s="1177">
        <f t="shared" ref="G259:AI259" si="16">SUBTOTAL(9,G250:G252)</f>
        <v>0</v>
      </c>
      <c r="H259" s="1177"/>
      <c r="I259" s="1177">
        <f t="shared" si="16"/>
        <v>0</v>
      </c>
      <c r="J259" s="1177"/>
      <c r="K259" s="1177">
        <f t="shared" si="16"/>
        <v>0</v>
      </c>
      <c r="L259" s="1177"/>
      <c r="M259" s="1177">
        <f t="shared" si="16"/>
        <v>0</v>
      </c>
      <c r="N259" s="1177"/>
      <c r="O259" s="1177">
        <f t="shared" si="16"/>
        <v>0</v>
      </c>
      <c r="P259" s="1177"/>
      <c r="Q259" s="1177">
        <f t="shared" si="16"/>
        <v>0</v>
      </c>
      <c r="R259" s="1177"/>
      <c r="S259" s="1177">
        <f t="shared" si="16"/>
        <v>0</v>
      </c>
      <c r="T259" s="1177"/>
      <c r="U259" s="1177">
        <f t="shared" si="16"/>
        <v>0</v>
      </c>
      <c r="V259" s="1177"/>
      <c r="W259" s="1177">
        <f t="shared" si="16"/>
        <v>0</v>
      </c>
      <c r="X259" s="1177"/>
      <c r="Y259" s="1177">
        <f t="shared" si="16"/>
        <v>0</v>
      </c>
      <c r="Z259" s="1177"/>
      <c r="AA259" s="1177">
        <f>SUBTOTAL(9,AA250:AA253)</f>
        <v>0</v>
      </c>
      <c r="AB259" s="1177"/>
      <c r="AC259" s="1177">
        <f t="shared" si="16"/>
        <v>0</v>
      </c>
      <c r="AD259" s="1177"/>
      <c r="AE259" s="1177">
        <f t="shared" si="16"/>
        <v>0</v>
      </c>
      <c r="AF259" s="1177"/>
      <c r="AG259" s="1177">
        <f t="shared" si="16"/>
        <v>0</v>
      </c>
      <c r="AH259" s="1177"/>
      <c r="AI259" s="1177">
        <f t="shared" si="16"/>
        <v>0</v>
      </c>
      <c r="AJ259" s="1178"/>
      <c r="AK259" s="1178">
        <f t="shared" si="14"/>
        <v>0</v>
      </c>
      <c r="AL259" s="1179">
        <f t="shared" si="14"/>
        <v>0</v>
      </c>
    </row>
    <row r="260" spans="1:38" ht="18" outlineLevel="1" x14ac:dyDescent="0.35">
      <c r="A260" s="1180" t="s">
        <v>1464</v>
      </c>
      <c r="B260" s="1181"/>
      <c r="C260" s="1182"/>
      <c r="D260" s="1183"/>
      <c r="E260" s="1184"/>
      <c r="F260" s="1185"/>
      <c r="G260" s="1185"/>
      <c r="H260" s="1185"/>
      <c r="I260" s="1185"/>
      <c r="J260" s="1185"/>
      <c r="K260" s="1185"/>
      <c r="L260" s="1185"/>
      <c r="M260" s="1185"/>
      <c r="N260" s="1185"/>
      <c r="O260" s="1185"/>
      <c r="P260" s="1185"/>
      <c r="Q260" s="1185"/>
      <c r="R260" s="1185"/>
      <c r="S260" s="1185"/>
      <c r="T260" s="1185"/>
      <c r="U260" s="1185"/>
      <c r="V260" s="1185"/>
      <c r="W260" s="1185"/>
      <c r="X260" s="1185"/>
      <c r="Y260" s="1185"/>
      <c r="Z260" s="1185"/>
      <c r="AA260" s="1185"/>
      <c r="AB260" s="1185"/>
      <c r="AC260" s="1185"/>
      <c r="AD260" s="1185"/>
      <c r="AE260" s="1185"/>
      <c r="AF260" s="1185"/>
      <c r="AG260" s="1185"/>
      <c r="AH260" s="1185"/>
      <c r="AI260" s="1185"/>
      <c r="AJ260" s="1186"/>
      <c r="AK260" s="1186">
        <f t="shared" si="14"/>
        <v>0</v>
      </c>
      <c r="AL260" s="1187">
        <f t="shared" si="14"/>
        <v>0</v>
      </c>
    </row>
    <row r="261" spans="1:38" hidden="1" outlineLevel="2" x14ac:dyDescent="0.3">
      <c r="A261" s="1188"/>
      <c r="B261" s="1189"/>
      <c r="C261" s="1190"/>
      <c r="D261" s="1191"/>
      <c r="E261" s="1192"/>
      <c r="F261" s="1193"/>
      <c r="G261" s="1193"/>
      <c r="H261" s="1193"/>
      <c r="I261" s="1193"/>
      <c r="J261" s="1193"/>
      <c r="K261" s="1193"/>
      <c r="L261" s="1193"/>
      <c r="M261" s="1193"/>
      <c r="N261" s="1193"/>
      <c r="O261" s="1193"/>
      <c r="P261" s="1193"/>
      <c r="Q261" s="1193"/>
      <c r="R261" s="1193"/>
      <c r="S261" s="1193"/>
      <c r="T261" s="1193"/>
      <c r="U261" s="1193"/>
      <c r="V261" s="1193"/>
      <c r="W261" s="1193"/>
      <c r="X261" s="1193"/>
      <c r="Y261" s="1193"/>
      <c r="Z261" s="1193"/>
      <c r="AA261" s="1193"/>
      <c r="AB261" s="1193"/>
      <c r="AC261" s="1193"/>
      <c r="AD261" s="1193"/>
      <c r="AE261" s="1193"/>
      <c r="AF261" s="1193"/>
      <c r="AG261" s="1193"/>
      <c r="AH261" s="1193"/>
      <c r="AI261" s="1193"/>
      <c r="AJ261" s="1194"/>
      <c r="AK261" s="1194">
        <f t="shared" si="14"/>
        <v>0</v>
      </c>
      <c r="AL261" s="1195">
        <f t="shared" si="14"/>
        <v>0</v>
      </c>
    </row>
    <row r="262" spans="1:38" hidden="1" outlineLevel="2" x14ac:dyDescent="0.3">
      <c r="A262" s="1188"/>
      <c r="B262" s="1189"/>
      <c r="C262" s="1190"/>
      <c r="D262" s="1191"/>
      <c r="E262" s="1192"/>
      <c r="F262" s="1193"/>
      <c r="G262" s="1193"/>
      <c r="H262" s="1193"/>
      <c r="I262" s="1193"/>
      <c r="J262" s="1193"/>
      <c r="K262" s="1193"/>
      <c r="L262" s="1193"/>
      <c r="M262" s="1193"/>
      <c r="N262" s="1193"/>
      <c r="O262" s="1193"/>
      <c r="P262" s="1193"/>
      <c r="Q262" s="1193"/>
      <c r="R262" s="1193"/>
      <c r="S262" s="1193"/>
      <c r="T262" s="1193"/>
      <c r="U262" s="1193"/>
      <c r="V262" s="1193"/>
      <c r="W262" s="1193"/>
      <c r="X262" s="1193"/>
      <c r="Y262" s="1193"/>
      <c r="Z262" s="1193"/>
      <c r="AA262" s="1193"/>
      <c r="AB262" s="1193"/>
      <c r="AC262" s="1193"/>
      <c r="AD262" s="1193"/>
      <c r="AE262" s="1193"/>
      <c r="AF262" s="1193"/>
      <c r="AG262" s="1193"/>
      <c r="AH262" s="1193"/>
      <c r="AI262" s="1193"/>
      <c r="AJ262" s="1194"/>
      <c r="AK262" s="1194">
        <f t="shared" si="14"/>
        <v>0</v>
      </c>
      <c r="AL262" s="1195">
        <f t="shared" si="14"/>
        <v>0</v>
      </c>
    </row>
    <row r="263" spans="1:38" hidden="1" outlineLevel="2" x14ac:dyDescent="0.3">
      <c r="A263" s="1188"/>
      <c r="B263" s="1196"/>
      <c r="C263" s="1197"/>
      <c r="D263" s="1198"/>
      <c r="E263" s="1199"/>
      <c r="F263" s="1200"/>
      <c r="G263" s="1200"/>
      <c r="H263" s="1200"/>
      <c r="I263" s="1200"/>
      <c r="J263" s="1200"/>
      <c r="K263" s="1200"/>
      <c r="L263" s="1200"/>
      <c r="M263" s="1200"/>
      <c r="N263" s="1200"/>
      <c r="O263" s="1200"/>
      <c r="P263" s="1200"/>
      <c r="Q263" s="1200"/>
      <c r="R263" s="1200"/>
      <c r="S263" s="1200"/>
      <c r="T263" s="1200"/>
      <c r="U263" s="1200"/>
      <c r="V263" s="1200"/>
      <c r="W263" s="1200"/>
      <c r="X263" s="1200"/>
      <c r="Y263" s="1200"/>
      <c r="Z263" s="1200"/>
      <c r="AA263" s="1200"/>
      <c r="AB263" s="1200"/>
      <c r="AC263" s="1200"/>
      <c r="AD263" s="1200"/>
      <c r="AE263" s="1200"/>
      <c r="AF263" s="1200"/>
      <c r="AG263" s="1200"/>
      <c r="AH263" s="1200"/>
      <c r="AI263" s="1200"/>
      <c r="AJ263" s="1201"/>
      <c r="AK263" s="1201">
        <f t="shared" si="14"/>
        <v>0</v>
      </c>
      <c r="AL263" s="1202">
        <f t="shared" si="14"/>
        <v>0</v>
      </c>
    </row>
    <row r="264" spans="1:38" hidden="1" outlineLevel="2" x14ac:dyDescent="0.3">
      <c r="A264" s="1188"/>
      <c r="B264" s="1196"/>
      <c r="C264" s="1197"/>
      <c r="D264" s="1198"/>
      <c r="E264" s="1199"/>
      <c r="F264" s="1200"/>
      <c r="G264" s="1200"/>
      <c r="H264" s="1200"/>
      <c r="I264" s="1200"/>
      <c r="J264" s="1200"/>
      <c r="K264" s="1200"/>
      <c r="L264" s="1200"/>
      <c r="M264" s="1200"/>
      <c r="N264" s="1200"/>
      <c r="O264" s="1200"/>
      <c r="P264" s="1200"/>
      <c r="Q264" s="1200"/>
      <c r="R264" s="1200"/>
      <c r="S264" s="1200"/>
      <c r="T264" s="1200"/>
      <c r="U264" s="1200"/>
      <c r="V264" s="1200"/>
      <c r="W264" s="1200"/>
      <c r="X264" s="1200"/>
      <c r="Y264" s="1200"/>
      <c r="Z264" s="1200"/>
      <c r="AA264" s="1200"/>
      <c r="AB264" s="1200"/>
      <c r="AC264" s="1200"/>
      <c r="AD264" s="1200"/>
      <c r="AE264" s="1200"/>
      <c r="AF264" s="1200"/>
      <c r="AG264" s="1200"/>
      <c r="AH264" s="1200"/>
      <c r="AI264" s="1200"/>
      <c r="AJ264" s="1201"/>
      <c r="AK264" s="1201">
        <f t="shared" si="14"/>
        <v>0</v>
      </c>
      <c r="AL264" s="1202">
        <f t="shared" si="14"/>
        <v>0</v>
      </c>
    </row>
    <row r="265" spans="1:38" hidden="1" outlineLevel="2" x14ac:dyDescent="0.3">
      <c r="A265" s="1188"/>
      <c r="B265" s="1196"/>
      <c r="C265" s="1197"/>
      <c r="D265" s="1198"/>
      <c r="E265" s="1199"/>
      <c r="F265" s="1200"/>
      <c r="G265" s="1200"/>
      <c r="H265" s="1200"/>
      <c r="I265" s="1200"/>
      <c r="J265" s="1200"/>
      <c r="K265" s="1200"/>
      <c r="L265" s="1200"/>
      <c r="M265" s="1200"/>
      <c r="N265" s="1200"/>
      <c r="O265" s="1200"/>
      <c r="P265" s="1200"/>
      <c r="Q265" s="1200"/>
      <c r="R265" s="1200"/>
      <c r="S265" s="1200"/>
      <c r="T265" s="1200"/>
      <c r="U265" s="1200"/>
      <c r="V265" s="1200"/>
      <c r="W265" s="1200"/>
      <c r="X265" s="1200"/>
      <c r="Y265" s="1200"/>
      <c r="Z265" s="1200"/>
      <c r="AA265" s="1200"/>
      <c r="AB265" s="1200"/>
      <c r="AC265" s="1200"/>
      <c r="AD265" s="1200"/>
      <c r="AE265" s="1200"/>
      <c r="AF265" s="1200"/>
      <c r="AG265" s="1200"/>
      <c r="AH265" s="1200"/>
      <c r="AI265" s="1200"/>
      <c r="AJ265" s="1201"/>
      <c r="AK265" s="1201">
        <f t="shared" si="14"/>
        <v>0</v>
      </c>
      <c r="AL265" s="1202">
        <f t="shared" si="14"/>
        <v>0</v>
      </c>
    </row>
    <row r="266" spans="1:38" hidden="1" outlineLevel="2" x14ac:dyDescent="0.3">
      <c r="A266" s="1188"/>
      <c r="B266" s="1196"/>
      <c r="C266" s="1197"/>
      <c r="D266" s="1198"/>
      <c r="E266" s="1199"/>
      <c r="F266" s="1200"/>
      <c r="G266" s="1200"/>
      <c r="H266" s="1200"/>
      <c r="I266" s="1200"/>
      <c r="J266" s="1200"/>
      <c r="K266" s="1200"/>
      <c r="L266" s="1200"/>
      <c r="M266" s="1200"/>
      <c r="N266" s="1200"/>
      <c r="O266" s="1200"/>
      <c r="P266" s="1200"/>
      <c r="Q266" s="1200"/>
      <c r="R266" s="1200"/>
      <c r="S266" s="1200"/>
      <c r="T266" s="1200"/>
      <c r="U266" s="1200"/>
      <c r="V266" s="1200"/>
      <c r="W266" s="1200"/>
      <c r="X266" s="1200"/>
      <c r="Y266" s="1200"/>
      <c r="Z266" s="1200"/>
      <c r="AA266" s="1200"/>
      <c r="AB266" s="1200"/>
      <c r="AC266" s="1200"/>
      <c r="AD266" s="1200"/>
      <c r="AE266" s="1200"/>
      <c r="AF266" s="1200"/>
      <c r="AG266" s="1200"/>
      <c r="AH266" s="1200"/>
      <c r="AI266" s="1200"/>
      <c r="AJ266" s="1201"/>
      <c r="AK266" s="1201">
        <f t="shared" si="14"/>
        <v>0</v>
      </c>
      <c r="AL266" s="1202">
        <f t="shared" si="14"/>
        <v>0</v>
      </c>
    </row>
    <row r="267" spans="1:38" hidden="1" outlineLevel="2" x14ac:dyDescent="0.3">
      <c r="A267" s="1188"/>
      <c r="B267" s="1196"/>
      <c r="C267" s="1197"/>
      <c r="D267" s="1198"/>
      <c r="E267" s="1199"/>
      <c r="F267" s="1200"/>
      <c r="G267" s="1200"/>
      <c r="H267" s="1200"/>
      <c r="I267" s="1200"/>
      <c r="J267" s="1200"/>
      <c r="K267" s="1200"/>
      <c r="L267" s="1200"/>
      <c r="M267" s="1200"/>
      <c r="N267" s="1200"/>
      <c r="O267" s="1200"/>
      <c r="P267" s="1200"/>
      <c r="Q267" s="1200"/>
      <c r="R267" s="1200"/>
      <c r="S267" s="1200"/>
      <c r="T267" s="1200"/>
      <c r="U267" s="1200"/>
      <c r="V267" s="1200"/>
      <c r="W267" s="1200"/>
      <c r="X267" s="1200"/>
      <c r="Y267" s="1200"/>
      <c r="Z267" s="1200"/>
      <c r="AA267" s="1200"/>
      <c r="AB267" s="1200"/>
      <c r="AC267" s="1200"/>
      <c r="AD267" s="1200"/>
      <c r="AE267" s="1200"/>
      <c r="AF267" s="1200"/>
      <c r="AG267" s="1200"/>
      <c r="AH267" s="1200"/>
      <c r="AI267" s="1200"/>
      <c r="AJ267" s="1201"/>
      <c r="AK267" s="1201">
        <f t="shared" si="14"/>
        <v>0</v>
      </c>
      <c r="AL267" s="1202">
        <f t="shared" si="14"/>
        <v>0</v>
      </c>
    </row>
    <row r="268" spans="1:38" ht="15" outlineLevel="1" collapsed="1" thickBot="1" x14ac:dyDescent="0.35">
      <c r="A268" s="1188"/>
      <c r="B268" s="1203" t="s">
        <v>550</v>
      </c>
      <c r="C268" s="1204"/>
      <c r="D268" s="1205"/>
      <c r="E268" s="1206">
        <f>SUBTOTAL(9,E260:E262)</f>
        <v>0</v>
      </c>
      <c r="F268" s="1207"/>
      <c r="G268" s="1207">
        <f>SUBTOTAL(9,G260:G262)</f>
        <v>0</v>
      </c>
      <c r="H268" s="1207"/>
      <c r="I268" s="1207">
        <f>SUBTOTAL(9,I260:I262)</f>
        <v>0</v>
      </c>
      <c r="J268" s="1207"/>
      <c r="K268" s="1207">
        <f>SUBTOTAL(9,K260:K262)</f>
        <v>0</v>
      </c>
      <c r="L268" s="1207"/>
      <c r="M268" s="1207">
        <f>SUBTOTAL(9,M260:M262)</f>
        <v>0</v>
      </c>
      <c r="N268" s="1207"/>
      <c r="O268" s="1207">
        <f>SUBTOTAL(9,O260:O262)</f>
        <v>0</v>
      </c>
      <c r="P268" s="1207"/>
      <c r="Q268" s="1207">
        <f>SUBTOTAL(9,Q260:Q262)</f>
        <v>0</v>
      </c>
      <c r="R268" s="1207"/>
      <c r="S268" s="1207">
        <f>SUBTOTAL(9,S260:S262)</f>
        <v>0</v>
      </c>
      <c r="T268" s="1207"/>
      <c r="U268" s="1207">
        <f>SUBTOTAL(9,U260:U262)</f>
        <v>0</v>
      </c>
      <c r="V268" s="1207"/>
      <c r="W268" s="1207">
        <f>SUBTOTAL(9,W260:W262)</f>
        <v>0</v>
      </c>
      <c r="X268" s="1207"/>
      <c r="Y268" s="1207">
        <f>SUBTOTAL(9,Y260:Y262)</f>
        <v>0</v>
      </c>
      <c r="Z268" s="1207"/>
      <c r="AA268" s="1207">
        <f>SUBTOTAL(9,AA260:AA262)</f>
        <v>0</v>
      </c>
      <c r="AB268" s="1207"/>
      <c r="AC268" s="1207">
        <f>SUBTOTAL(9,AC260:AC262)</f>
        <v>0</v>
      </c>
      <c r="AD268" s="1207"/>
      <c r="AE268" s="1207">
        <f>SUBTOTAL(9,AE260:AE262)</f>
        <v>0</v>
      </c>
      <c r="AF268" s="1207"/>
      <c r="AG268" s="1207">
        <f>SUBTOTAL(9,AG260:AG262)</f>
        <v>0</v>
      </c>
      <c r="AH268" s="1207"/>
      <c r="AI268" s="1207">
        <f>SUBTOTAL(9,AI260:AI262)</f>
        <v>0</v>
      </c>
      <c r="AJ268" s="1208"/>
      <c r="AK268" s="1208">
        <f t="shared" si="14"/>
        <v>0</v>
      </c>
      <c r="AL268" s="1209">
        <f t="shared" si="14"/>
        <v>0</v>
      </c>
    </row>
    <row r="269" spans="1:38" x14ac:dyDescent="0.3">
      <c r="A269" s="98"/>
      <c r="B269" s="660"/>
      <c r="C269" s="660"/>
      <c r="D269" s="660"/>
      <c r="E269" s="941">
        <f>SUM(E268,E259,E248)</f>
        <v>0</v>
      </c>
      <c r="F269" s="941"/>
      <c r="G269" s="941">
        <f>SUM(G268,G259,G248)</f>
        <v>0</v>
      </c>
      <c r="H269" s="941"/>
      <c r="I269" s="941">
        <f>SUM(I268,I259,I248)</f>
        <v>0</v>
      </c>
      <c r="J269" s="941"/>
      <c r="K269" s="941">
        <v>9600</v>
      </c>
      <c r="L269" s="941"/>
      <c r="M269" s="941">
        <f>SUM(M268,M259,M248)</f>
        <v>0</v>
      </c>
      <c r="N269" s="941"/>
      <c r="O269" s="941">
        <f>SUM(O268,O259,O248)</f>
        <v>0</v>
      </c>
      <c r="P269" s="941"/>
      <c r="Q269" s="941">
        <f>SUM(Q268,Q259,Q248)</f>
        <v>0</v>
      </c>
      <c r="R269" s="941"/>
      <c r="S269" s="941">
        <f>SUM(S268,S259,S248)</f>
        <v>0</v>
      </c>
      <c r="T269" s="941"/>
      <c r="U269" s="941">
        <f>SUM(U268,U259,U248)</f>
        <v>0</v>
      </c>
      <c r="V269" s="941"/>
      <c r="W269" s="941">
        <f>SUM(W268,W259,W248)</f>
        <v>0</v>
      </c>
      <c r="X269" s="941"/>
      <c r="Y269" s="941">
        <f>SUM(Y268,Y259,Y248)</f>
        <v>0</v>
      </c>
      <c r="Z269" s="941"/>
      <c r="AA269" s="941">
        <f>SUM(AA268,AA259,AA248)</f>
        <v>0</v>
      </c>
      <c r="AB269" s="941"/>
      <c r="AC269" s="941">
        <f>SUM(AC268,AC259,AC248)</f>
        <v>0</v>
      </c>
      <c r="AD269" s="941"/>
      <c r="AE269" s="941">
        <f>SUM(AE268,AE259,AE248)</f>
        <v>0</v>
      </c>
      <c r="AF269" s="941"/>
      <c r="AG269" s="941">
        <f>SUM(AG268,AG259,AG248)</f>
        <v>0</v>
      </c>
      <c r="AH269" s="941"/>
      <c r="AI269" s="941">
        <f>SUM(AI268,AI259,AI248)</f>
        <v>0</v>
      </c>
      <c r="AJ269" s="941"/>
      <c r="AK269" s="941"/>
      <c r="AL269" s="941">
        <f>SUM(K269:AI269)-SUM(E269:I269)</f>
        <v>9600</v>
      </c>
    </row>
    <row r="271" spans="1:38" ht="18" x14ac:dyDescent="0.3">
      <c r="A271" s="1110" t="s">
        <v>1469</v>
      </c>
      <c r="B271" s="1111"/>
      <c r="C271" s="1111"/>
      <c r="D271" s="1111"/>
      <c r="E271" s="1112"/>
      <c r="F271" s="1112"/>
      <c r="G271" s="660"/>
      <c r="H271" s="660"/>
      <c r="I271" s="660"/>
      <c r="J271" s="660"/>
      <c r="K271" s="660"/>
      <c r="L271" s="660"/>
      <c r="M271" s="660"/>
      <c r="N271" s="660"/>
      <c r="O271" s="660"/>
      <c r="P271" s="660"/>
      <c r="Q271" s="660"/>
      <c r="R271" s="660"/>
      <c r="S271" s="660"/>
      <c r="T271" s="660"/>
      <c r="U271" s="660"/>
      <c r="V271" s="660"/>
      <c r="W271" s="660"/>
      <c r="X271" s="660"/>
      <c r="Y271" s="660"/>
      <c r="Z271" s="660"/>
      <c r="AA271" s="660"/>
      <c r="AB271" s="660"/>
      <c r="AC271" s="660"/>
      <c r="AD271" s="660"/>
      <c r="AE271" s="660"/>
      <c r="AF271" s="660"/>
      <c r="AG271" s="660"/>
      <c r="AH271" s="660"/>
      <c r="AI271" s="660"/>
      <c r="AJ271" s="660"/>
      <c r="AK271" s="660"/>
    </row>
    <row r="272" spans="1:38" ht="15" thickBot="1" x14ac:dyDescent="0.35">
      <c r="A272" s="39"/>
      <c r="B272" s="1113"/>
      <c r="C272" s="1113"/>
      <c r="D272" s="1114" t="s">
        <v>1407</v>
      </c>
      <c r="E272" s="1115" t="s">
        <v>69</v>
      </c>
      <c r="F272" s="1116" t="s">
        <v>8</v>
      </c>
      <c r="G272" s="1115" t="s">
        <v>83</v>
      </c>
      <c r="H272" s="1116" t="s">
        <v>8</v>
      </c>
      <c r="I272" s="1115" t="s">
        <v>90</v>
      </c>
      <c r="J272" s="1116" t="s">
        <v>8</v>
      </c>
      <c r="K272" s="1117" t="s">
        <v>134</v>
      </c>
      <c r="L272" s="1118" t="s">
        <v>8</v>
      </c>
      <c r="M272" s="1117" t="s">
        <v>136</v>
      </c>
      <c r="N272" s="1118" t="s">
        <v>8</v>
      </c>
      <c r="O272" s="1117" t="s">
        <v>728</v>
      </c>
      <c r="P272" s="1118" t="s">
        <v>8</v>
      </c>
      <c r="Q272" s="1117" t="s">
        <v>266</v>
      </c>
      <c r="R272" s="1118" t="s">
        <v>8</v>
      </c>
      <c r="S272" s="1117" t="s">
        <v>292</v>
      </c>
      <c r="T272" s="1118" t="s">
        <v>8</v>
      </c>
      <c r="U272" s="1117" t="s">
        <v>335</v>
      </c>
      <c r="V272" s="1118" t="s">
        <v>8</v>
      </c>
      <c r="W272" s="1117" t="s">
        <v>346</v>
      </c>
      <c r="X272" s="1118" t="s">
        <v>8</v>
      </c>
      <c r="Y272" s="1117" t="s">
        <v>357</v>
      </c>
      <c r="Z272" s="1118" t="s">
        <v>8</v>
      </c>
      <c r="AA272" s="1117" t="s">
        <v>364</v>
      </c>
      <c r="AB272" s="1118" t="s">
        <v>8</v>
      </c>
      <c r="AC272" s="1117" t="s">
        <v>376</v>
      </c>
      <c r="AD272" s="1118" t="s">
        <v>8</v>
      </c>
      <c r="AE272" s="1117" t="s">
        <v>386</v>
      </c>
      <c r="AF272" s="1118" t="s">
        <v>8</v>
      </c>
      <c r="AG272" s="1117" t="s">
        <v>398</v>
      </c>
      <c r="AH272" s="1118" t="s">
        <v>8</v>
      </c>
      <c r="AI272" s="1117" t="s">
        <v>424</v>
      </c>
      <c r="AJ272" s="1119" t="s">
        <v>8</v>
      </c>
      <c r="AK272" s="1120" t="s">
        <v>1404</v>
      </c>
      <c r="AL272" s="1121" t="s">
        <v>1405</v>
      </c>
    </row>
    <row r="273" spans="1:38" ht="18" outlineLevel="1" x14ac:dyDescent="0.35">
      <c r="A273" s="1122" t="s">
        <v>1223</v>
      </c>
      <c r="B273" s="1123" t="s">
        <v>625</v>
      </c>
      <c r="C273" s="1124" t="s">
        <v>1408</v>
      </c>
      <c r="D273" s="1125" t="s">
        <v>1409</v>
      </c>
      <c r="E273" s="1126"/>
      <c r="F273" s="1127"/>
      <c r="G273" s="1127"/>
      <c r="H273" s="1127"/>
      <c r="I273" s="1127"/>
      <c r="J273" s="1127"/>
      <c r="K273" s="1127"/>
      <c r="L273" s="1127"/>
      <c r="M273" s="1127"/>
      <c r="N273" s="1127"/>
      <c r="O273" s="1127"/>
      <c r="P273" s="1127"/>
      <c r="Q273" s="1127"/>
      <c r="R273" s="1127"/>
      <c r="S273" s="1127"/>
      <c r="T273" s="1127"/>
      <c r="U273" s="1127"/>
      <c r="V273" s="1127"/>
      <c r="W273" s="1127"/>
      <c r="X273" s="1127"/>
      <c r="Y273" s="1127"/>
      <c r="Z273" s="1127"/>
      <c r="AA273" s="1127"/>
      <c r="AB273" s="1127"/>
      <c r="AC273" s="1127"/>
      <c r="AD273" s="1127"/>
      <c r="AE273" s="1127"/>
      <c r="AF273" s="1127"/>
      <c r="AG273" s="1127"/>
      <c r="AH273" s="1127"/>
      <c r="AI273" s="1127"/>
      <c r="AJ273" s="1128"/>
      <c r="AK273" s="1128"/>
      <c r="AL273" s="1129"/>
    </row>
    <row r="274" spans="1:38" hidden="1" outlineLevel="2" x14ac:dyDescent="0.3">
      <c r="A274" s="1130"/>
      <c r="B274" s="1131"/>
      <c r="C274" s="1132"/>
      <c r="D274" s="1133"/>
      <c r="E274" s="1134"/>
      <c r="F274" s="1135"/>
      <c r="G274" s="1135"/>
      <c r="H274" s="1135"/>
      <c r="I274" s="1135"/>
      <c r="J274" s="1135"/>
      <c r="K274" s="1135"/>
      <c r="L274" s="1135"/>
      <c r="M274" s="1135"/>
      <c r="N274" s="1135"/>
      <c r="O274" s="1135"/>
      <c r="P274" s="1135"/>
      <c r="Q274" s="1135"/>
      <c r="R274" s="1135"/>
      <c r="S274" s="1135"/>
      <c r="T274" s="1135"/>
      <c r="U274" s="1135"/>
      <c r="V274" s="1135"/>
      <c r="W274" s="1135"/>
      <c r="X274" s="1135"/>
      <c r="Y274" s="1135"/>
      <c r="Z274" s="1135"/>
      <c r="AA274" s="1135"/>
      <c r="AB274" s="1135"/>
      <c r="AC274" s="1135"/>
      <c r="AD274" s="1135"/>
      <c r="AE274" s="1135"/>
      <c r="AF274" s="1135"/>
      <c r="AG274" s="1135"/>
      <c r="AH274" s="1135"/>
      <c r="AI274" s="1135"/>
      <c r="AJ274" s="1136"/>
      <c r="AK274" s="1136"/>
      <c r="AL274" s="1137"/>
    </row>
    <row r="275" spans="1:38" hidden="1" outlineLevel="2" x14ac:dyDescent="0.3">
      <c r="A275" s="1130"/>
      <c r="B275" s="1131"/>
      <c r="C275" s="1132"/>
      <c r="D275" s="1133"/>
      <c r="E275" s="1134"/>
      <c r="F275" s="1135"/>
      <c r="G275" s="1135"/>
      <c r="H275" s="1135"/>
      <c r="I275" s="1135"/>
      <c r="J275" s="1135"/>
      <c r="K275" s="1135"/>
      <c r="L275" s="1135"/>
      <c r="M275" s="1135"/>
      <c r="N275" s="1135"/>
      <c r="O275" s="1135"/>
      <c r="P275" s="1135"/>
      <c r="Q275" s="1135"/>
      <c r="R275" s="1135"/>
      <c r="S275" s="1135"/>
      <c r="T275" s="1135"/>
      <c r="U275" s="1135"/>
      <c r="V275" s="1135"/>
      <c r="W275" s="1135"/>
      <c r="X275" s="1135"/>
      <c r="Y275" s="1135"/>
      <c r="Z275" s="1135"/>
      <c r="AA275" s="1135"/>
      <c r="AB275" s="1135"/>
      <c r="AC275" s="1135"/>
      <c r="AD275" s="1135"/>
      <c r="AE275" s="1135"/>
      <c r="AF275" s="1135"/>
      <c r="AG275" s="1135"/>
      <c r="AH275" s="1135"/>
      <c r="AI275" s="1135"/>
      <c r="AJ275" s="1136"/>
      <c r="AK275" s="1137">
        <f t="shared" ref="AK275:AL306" si="17">SUM(E275,G275,I275)-SUM(K275,M275,O275,Q275,S275,U275,W275,Y275,AA275,AC275,AE275,AG275,AI275)</f>
        <v>0</v>
      </c>
      <c r="AL275" s="1137">
        <f t="shared" si="17"/>
        <v>0</v>
      </c>
    </row>
    <row r="276" spans="1:38" hidden="1" outlineLevel="2" x14ac:dyDescent="0.3">
      <c r="A276" s="1130"/>
      <c r="B276" s="1131"/>
      <c r="C276" s="1132"/>
      <c r="D276" s="1133"/>
      <c r="E276" s="1134"/>
      <c r="F276" s="1135"/>
      <c r="G276" s="1135"/>
      <c r="H276" s="1135"/>
      <c r="I276" s="1135"/>
      <c r="J276" s="1135"/>
      <c r="K276" s="1135"/>
      <c r="L276" s="1135"/>
      <c r="M276" s="1135"/>
      <c r="N276" s="1135"/>
      <c r="O276" s="1135"/>
      <c r="P276" s="1135"/>
      <c r="Q276" s="1135"/>
      <c r="R276" s="1135"/>
      <c r="S276" s="1135"/>
      <c r="T276" s="1135"/>
      <c r="U276" s="1135"/>
      <c r="V276" s="1135"/>
      <c r="W276" s="1135"/>
      <c r="X276" s="1135"/>
      <c r="Y276" s="1135"/>
      <c r="Z276" s="1135"/>
      <c r="AA276" s="1135"/>
      <c r="AB276" s="1135"/>
      <c r="AC276" s="1135"/>
      <c r="AD276" s="1135"/>
      <c r="AE276" s="1135"/>
      <c r="AF276" s="1135"/>
      <c r="AG276" s="1135"/>
      <c r="AH276" s="1135"/>
      <c r="AI276" s="1135"/>
      <c r="AJ276" s="1136"/>
      <c r="AK276" s="1137">
        <f t="shared" si="17"/>
        <v>0</v>
      </c>
      <c r="AL276" s="1137">
        <f t="shared" si="17"/>
        <v>0</v>
      </c>
    </row>
    <row r="277" spans="1:38" hidden="1" outlineLevel="2" x14ac:dyDescent="0.3">
      <c r="A277" s="1130"/>
      <c r="B277" s="1138"/>
      <c r="C277" s="1139"/>
      <c r="D277" s="1140"/>
      <c r="E277" s="1134"/>
      <c r="F277" s="1141"/>
      <c r="G277" s="1141"/>
      <c r="H277" s="1141"/>
      <c r="I277" s="1141"/>
      <c r="J277" s="1141"/>
      <c r="K277" s="1135"/>
      <c r="L277" s="1141"/>
      <c r="M277" s="1141"/>
      <c r="N277" s="1141"/>
      <c r="O277" s="1141"/>
      <c r="P277" s="1141"/>
      <c r="Q277" s="1141"/>
      <c r="R277" s="1141"/>
      <c r="S277" s="1141"/>
      <c r="T277" s="1141"/>
      <c r="U277" s="1135"/>
      <c r="V277" s="1141"/>
      <c r="W277" s="1141"/>
      <c r="X277" s="1141"/>
      <c r="Y277" s="1141"/>
      <c r="Z277" s="1141"/>
      <c r="AA277" s="1141"/>
      <c r="AB277" s="1141"/>
      <c r="AC277" s="1141"/>
      <c r="AD277" s="1141"/>
      <c r="AE277" s="1135"/>
      <c r="AF277" s="1141"/>
      <c r="AG277" s="1135"/>
      <c r="AH277" s="1141"/>
      <c r="AI277" s="1141"/>
      <c r="AJ277" s="1142"/>
      <c r="AK277" s="1137">
        <f t="shared" si="17"/>
        <v>0</v>
      </c>
      <c r="AL277" s="1137">
        <f t="shared" si="17"/>
        <v>0</v>
      </c>
    </row>
    <row r="278" spans="1:38" hidden="1" outlineLevel="2" x14ac:dyDescent="0.3">
      <c r="A278" s="1130"/>
      <c r="B278" s="1138"/>
      <c r="C278" s="1139"/>
      <c r="D278" s="1140"/>
      <c r="E278" s="1134"/>
      <c r="F278" s="1141"/>
      <c r="G278" s="1141"/>
      <c r="H278" s="1141"/>
      <c r="I278" s="1141"/>
      <c r="J278" s="1141"/>
      <c r="K278" s="1135"/>
      <c r="L278" s="1141"/>
      <c r="M278" s="1141"/>
      <c r="N278" s="1141"/>
      <c r="O278" s="1141"/>
      <c r="P278" s="1141"/>
      <c r="Q278" s="1141"/>
      <c r="R278" s="1141"/>
      <c r="S278" s="1141"/>
      <c r="T278" s="1141"/>
      <c r="U278" s="1135"/>
      <c r="V278" s="1141"/>
      <c r="W278" s="1141"/>
      <c r="X278" s="1141"/>
      <c r="Y278" s="1141"/>
      <c r="Z278" s="1141"/>
      <c r="AA278" s="1141"/>
      <c r="AB278" s="1141"/>
      <c r="AC278" s="1141"/>
      <c r="AD278" s="1141"/>
      <c r="AE278" s="1135"/>
      <c r="AF278" s="1141"/>
      <c r="AG278" s="1135"/>
      <c r="AH278" s="1141"/>
      <c r="AI278" s="1141"/>
      <c r="AJ278" s="1142"/>
      <c r="AK278" s="1137">
        <f t="shared" si="17"/>
        <v>0</v>
      </c>
      <c r="AL278" s="1137">
        <f t="shared" si="17"/>
        <v>0</v>
      </c>
    </row>
    <row r="279" spans="1:38" hidden="1" outlineLevel="2" x14ac:dyDescent="0.3">
      <c r="A279" s="1130"/>
      <c r="B279" s="1138"/>
      <c r="C279" s="1139"/>
      <c r="D279" s="1140"/>
      <c r="E279" s="1134"/>
      <c r="F279" s="1141"/>
      <c r="G279" s="1141"/>
      <c r="H279" s="1141"/>
      <c r="I279" s="1141"/>
      <c r="J279" s="1141"/>
      <c r="K279" s="1135"/>
      <c r="L279" s="1141"/>
      <c r="M279" s="1141"/>
      <c r="N279" s="1141"/>
      <c r="O279" s="1141"/>
      <c r="P279" s="1141"/>
      <c r="Q279" s="1141"/>
      <c r="R279" s="1141"/>
      <c r="S279" s="1141"/>
      <c r="T279" s="1141"/>
      <c r="U279" s="1135"/>
      <c r="V279" s="1141"/>
      <c r="W279" s="1141"/>
      <c r="X279" s="1141"/>
      <c r="Y279" s="1141"/>
      <c r="Z279" s="1141"/>
      <c r="AA279" s="1141"/>
      <c r="AB279" s="1141"/>
      <c r="AC279" s="1141"/>
      <c r="AD279" s="1141"/>
      <c r="AE279" s="1135"/>
      <c r="AF279" s="1141"/>
      <c r="AG279" s="1135"/>
      <c r="AH279" s="1141"/>
      <c r="AI279" s="1141"/>
      <c r="AJ279" s="1142"/>
      <c r="AK279" s="1137">
        <f t="shared" si="17"/>
        <v>0</v>
      </c>
      <c r="AL279" s="1137">
        <f t="shared" si="17"/>
        <v>0</v>
      </c>
    </row>
    <row r="280" spans="1:38" hidden="1" outlineLevel="2" x14ac:dyDescent="0.3">
      <c r="A280" s="1130"/>
      <c r="B280" s="1138"/>
      <c r="C280" s="1139"/>
      <c r="D280" s="1140"/>
      <c r="E280" s="1134"/>
      <c r="F280" s="1141"/>
      <c r="G280" s="1141"/>
      <c r="H280" s="1141"/>
      <c r="I280" s="1141"/>
      <c r="J280" s="1141"/>
      <c r="K280" s="1135"/>
      <c r="L280" s="1141"/>
      <c r="M280" s="1141"/>
      <c r="N280" s="1141"/>
      <c r="O280" s="1141"/>
      <c r="P280" s="1141"/>
      <c r="Q280" s="1141"/>
      <c r="R280" s="1141"/>
      <c r="S280" s="1141"/>
      <c r="T280" s="1141"/>
      <c r="U280" s="1135"/>
      <c r="V280" s="1141"/>
      <c r="W280" s="1141"/>
      <c r="X280" s="1141"/>
      <c r="Y280" s="1141"/>
      <c r="Z280" s="1141"/>
      <c r="AA280" s="1141"/>
      <c r="AB280" s="1141"/>
      <c r="AC280" s="1141"/>
      <c r="AD280" s="1141"/>
      <c r="AE280" s="1135"/>
      <c r="AF280" s="1141"/>
      <c r="AG280" s="1135"/>
      <c r="AH280" s="1141"/>
      <c r="AI280" s="1141"/>
      <c r="AJ280" s="1142"/>
      <c r="AK280" s="1137">
        <f t="shared" si="17"/>
        <v>0</v>
      </c>
      <c r="AL280" s="1137">
        <f t="shared" si="17"/>
        <v>0</v>
      </c>
    </row>
    <row r="281" spans="1:38" hidden="1" outlineLevel="2" x14ac:dyDescent="0.3">
      <c r="A281" s="1130"/>
      <c r="B281" s="1138"/>
      <c r="C281" s="1139"/>
      <c r="D281" s="1140"/>
      <c r="E281" s="1134"/>
      <c r="F281" s="1141"/>
      <c r="G281" s="1141"/>
      <c r="H281" s="1141"/>
      <c r="I281" s="1141"/>
      <c r="J281" s="1141"/>
      <c r="K281" s="1135"/>
      <c r="L281" s="1141"/>
      <c r="M281" s="1141"/>
      <c r="N281" s="1141"/>
      <c r="O281" s="1141"/>
      <c r="P281" s="1141"/>
      <c r="Q281" s="1141"/>
      <c r="R281" s="1141"/>
      <c r="S281" s="1141"/>
      <c r="T281" s="1141"/>
      <c r="U281" s="1135"/>
      <c r="V281" s="1141"/>
      <c r="W281" s="1141"/>
      <c r="X281" s="1141"/>
      <c r="Y281" s="1141"/>
      <c r="Z281" s="1141"/>
      <c r="AA281" s="1141"/>
      <c r="AB281" s="1141"/>
      <c r="AC281" s="1141"/>
      <c r="AD281" s="1141"/>
      <c r="AE281" s="1135"/>
      <c r="AF281" s="1141"/>
      <c r="AG281" s="1135"/>
      <c r="AH281" s="1141"/>
      <c r="AI281" s="1141"/>
      <c r="AJ281" s="1142"/>
      <c r="AK281" s="1137">
        <f t="shared" si="17"/>
        <v>0</v>
      </c>
      <c r="AL281" s="1137">
        <f t="shared" si="17"/>
        <v>0</v>
      </c>
    </row>
    <row r="282" spans="1:38" hidden="1" outlineLevel="2" x14ac:dyDescent="0.3">
      <c r="A282" s="1130"/>
      <c r="B282" s="1138"/>
      <c r="C282" s="1139"/>
      <c r="D282" s="1140"/>
      <c r="E282" s="1134"/>
      <c r="F282" s="1141"/>
      <c r="G282" s="1141"/>
      <c r="H282" s="1141"/>
      <c r="I282" s="1141"/>
      <c r="J282" s="1141"/>
      <c r="K282" s="1135"/>
      <c r="L282" s="1141"/>
      <c r="M282" s="1141"/>
      <c r="N282" s="1141"/>
      <c r="O282" s="1141"/>
      <c r="P282" s="1141"/>
      <c r="Q282" s="1141"/>
      <c r="R282" s="1141"/>
      <c r="S282" s="1141"/>
      <c r="T282" s="1141"/>
      <c r="U282" s="1135"/>
      <c r="V282" s="1141"/>
      <c r="W282" s="1141"/>
      <c r="X282" s="1141"/>
      <c r="Y282" s="1141"/>
      <c r="Z282" s="1141"/>
      <c r="AA282" s="1141"/>
      <c r="AB282" s="1141"/>
      <c r="AC282" s="1141"/>
      <c r="AD282" s="1141"/>
      <c r="AE282" s="1135"/>
      <c r="AF282" s="1141"/>
      <c r="AG282" s="1135"/>
      <c r="AH282" s="1141"/>
      <c r="AI282" s="1141"/>
      <c r="AJ282" s="1142"/>
      <c r="AK282" s="1137">
        <f t="shared" si="17"/>
        <v>0</v>
      </c>
      <c r="AL282" s="1137">
        <f t="shared" si="17"/>
        <v>0</v>
      </c>
    </row>
    <row r="283" spans="1:38" hidden="1" outlineLevel="2" x14ac:dyDescent="0.3">
      <c r="A283" s="1130"/>
      <c r="B283" s="1138"/>
      <c r="C283" s="1139"/>
      <c r="D283" s="1140"/>
      <c r="E283" s="1134"/>
      <c r="F283" s="1141"/>
      <c r="G283" s="1141"/>
      <c r="H283" s="1141"/>
      <c r="I283" s="1141"/>
      <c r="J283" s="1141"/>
      <c r="K283" s="1135"/>
      <c r="L283" s="1141"/>
      <c r="M283" s="1141"/>
      <c r="N283" s="1141"/>
      <c r="O283" s="1141"/>
      <c r="P283" s="1141"/>
      <c r="Q283" s="1141"/>
      <c r="R283" s="1141"/>
      <c r="S283" s="1141"/>
      <c r="T283" s="1141"/>
      <c r="U283" s="1135"/>
      <c r="V283" s="1141"/>
      <c r="W283" s="1141"/>
      <c r="X283" s="1141"/>
      <c r="Y283" s="1141"/>
      <c r="Z283" s="1141"/>
      <c r="AA283" s="1141"/>
      <c r="AB283" s="1141"/>
      <c r="AC283" s="1141"/>
      <c r="AD283" s="1141"/>
      <c r="AE283" s="1135"/>
      <c r="AF283" s="1141"/>
      <c r="AG283" s="1135"/>
      <c r="AH283" s="1141"/>
      <c r="AI283" s="1141"/>
      <c r="AJ283" s="1142"/>
      <c r="AK283" s="1137">
        <f t="shared" si="17"/>
        <v>0</v>
      </c>
      <c r="AL283" s="1137">
        <f t="shared" si="17"/>
        <v>0</v>
      </c>
    </row>
    <row r="284" spans="1:38" hidden="1" outlineLevel="2" x14ac:dyDescent="0.3">
      <c r="A284" s="1130"/>
      <c r="B284" s="1138"/>
      <c r="C284" s="1139"/>
      <c r="D284" s="1140"/>
      <c r="E284" s="1134"/>
      <c r="F284" s="1141"/>
      <c r="G284" s="1141"/>
      <c r="H284" s="1141"/>
      <c r="I284" s="1141"/>
      <c r="J284" s="1141"/>
      <c r="K284" s="1135"/>
      <c r="L284" s="1141"/>
      <c r="M284" s="1141"/>
      <c r="N284" s="1141"/>
      <c r="O284" s="1141"/>
      <c r="P284" s="1141"/>
      <c r="Q284" s="1141"/>
      <c r="R284" s="1141"/>
      <c r="S284" s="1141"/>
      <c r="T284" s="1141"/>
      <c r="U284" s="1135"/>
      <c r="V284" s="1141"/>
      <c r="W284" s="1141"/>
      <c r="X284" s="1141"/>
      <c r="Y284" s="1141"/>
      <c r="Z284" s="1141"/>
      <c r="AA284" s="1141"/>
      <c r="AB284" s="1141"/>
      <c r="AC284" s="1141"/>
      <c r="AD284" s="1141"/>
      <c r="AE284" s="1135"/>
      <c r="AF284" s="1141"/>
      <c r="AG284" s="1135"/>
      <c r="AH284" s="1141"/>
      <c r="AI284" s="1141"/>
      <c r="AJ284" s="1142"/>
      <c r="AK284" s="1137">
        <f t="shared" si="17"/>
        <v>0</v>
      </c>
      <c r="AL284" s="1137">
        <f t="shared" si="17"/>
        <v>0</v>
      </c>
    </row>
    <row r="285" spans="1:38" hidden="1" outlineLevel="2" x14ac:dyDescent="0.3">
      <c r="A285" s="1130"/>
      <c r="B285" s="1138"/>
      <c r="C285" s="1139"/>
      <c r="D285" s="1140"/>
      <c r="E285" s="1134"/>
      <c r="F285" s="1141"/>
      <c r="G285" s="1141"/>
      <c r="H285" s="1141"/>
      <c r="I285" s="1141"/>
      <c r="J285" s="1141"/>
      <c r="K285" s="1135"/>
      <c r="L285" s="1141"/>
      <c r="M285" s="1141"/>
      <c r="N285" s="1141"/>
      <c r="O285" s="1141"/>
      <c r="P285" s="1141"/>
      <c r="Q285" s="1141"/>
      <c r="R285" s="1141"/>
      <c r="S285" s="1141"/>
      <c r="T285" s="1141"/>
      <c r="U285" s="1135"/>
      <c r="V285" s="1141"/>
      <c r="W285" s="1141"/>
      <c r="X285" s="1141"/>
      <c r="Y285" s="1141"/>
      <c r="Z285" s="1141"/>
      <c r="AA285" s="1141"/>
      <c r="AB285" s="1141"/>
      <c r="AC285" s="1141"/>
      <c r="AD285" s="1141"/>
      <c r="AE285" s="1135"/>
      <c r="AF285" s="1141"/>
      <c r="AG285" s="1135"/>
      <c r="AH285" s="1141"/>
      <c r="AI285" s="1141"/>
      <c r="AJ285" s="1142"/>
      <c r="AK285" s="1137">
        <f t="shared" si="17"/>
        <v>0</v>
      </c>
      <c r="AL285" s="1137">
        <f t="shared" si="17"/>
        <v>0</v>
      </c>
    </row>
    <row r="286" spans="1:38" hidden="1" outlineLevel="2" x14ac:dyDescent="0.3">
      <c r="A286" s="1130"/>
      <c r="B286" s="1138"/>
      <c r="C286" s="1139"/>
      <c r="D286" s="1140"/>
      <c r="E286" s="1134"/>
      <c r="F286" s="1141"/>
      <c r="G286" s="1141"/>
      <c r="H286" s="1141"/>
      <c r="I286" s="1141"/>
      <c r="J286" s="1141"/>
      <c r="K286" s="1135"/>
      <c r="L286" s="1141"/>
      <c r="M286" s="1141"/>
      <c r="N286" s="1141"/>
      <c r="O286" s="1141"/>
      <c r="P286" s="1141"/>
      <c r="Q286" s="1141"/>
      <c r="R286" s="1141"/>
      <c r="S286" s="1141"/>
      <c r="T286" s="1141"/>
      <c r="U286" s="1135"/>
      <c r="V286" s="1141"/>
      <c r="W286" s="1141"/>
      <c r="X286" s="1141"/>
      <c r="Y286" s="1141"/>
      <c r="Z286" s="1141"/>
      <c r="AA286" s="1141"/>
      <c r="AB286" s="1141"/>
      <c r="AC286" s="1141"/>
      <c r="AD286" s="1141"/>
      <c r="AE286" s="1135"/>
      <c r="AF286" s="1141"/>
      <c r="AG286" s="1135"/>
      <c r="AH286" s="1141"/>
      <c r="AI286" s="1141"/>
      <c r="AJ286" s="1142"/>
      <c r="AK286" s="1137">
        <f t="shared" si="17"/>
        <v>0</v>
      </c>
      <c r="AL286" s="1137">
        <f t="shared" si="17"/>
        <v>0</v>
      </c>
    </row>
    <row r="287" spans="1:38" hidden="1" outlineLevel="2" x14ac:dyDescent="0.3">
      <c r="A287" s="1130"/>
      <c r="B287" s="1138"/>
      <c r="C287" s="1139"/>
      <c r="D287" s="1140"/>
      <c r="E287" s="1134"/>
      <c r="F287" s="1141"/>
      <c r="G287" s="1141"/>
      <c r="H287" s="1141"/>
      <c r="I287" s="1141"/>
      <c r="J287" s="1141"/>
      <c r="K287" s="1135"/>
      <c r="L287" s="1141"/>
      <c r="M287" s="1141"/>
      <c r="N287" s="1141"/>
      <c r="O287" s="1141"/>
      <c r="P287" s="1141"/>
      <c r="Q287" s="1141"/>
      <c r="R287" s="1141"/>
      <c r="S287" s="1141"/>
      <c r="T287" s="1141"/>
      <c r="U287" s="1135"/>
      <c r="V287" s="1141"/>
      <c r="W287" s="1141"/>
      <c r="X287" s="1141"/>
      <c r="Y287" s="1141"/>
      <c r="Z287" s="1141"/>
      <c r="AA287" s="1141"/>
      <c r="AB287" s="1141"/>
      <c r="AC287" s="1141"/>
      <c r="AD287" s="1141"/>
      <c r="AE287" s="1135"/>
      <c r="AF287" s="1141"/>
      <c r="AG287" s="1135"/>
      <c r="AH287" s="1141"/>
      <c r="AI287" s="1141"/>
      <c r="AJ287" s="1142"/>
      <c r="AK287" s="1137">
        <f t="shared" si="17"/>
        <v>0</v>
      </c>
      <c r="AL287" s="1137">
        <f t="shared" si="17"/>
        <v>0</v>
      </c>
    </row>
    <row r="288" spans="1:38" hidden="1" outlineLevel="2" x14ac:dyDescent="0.3">
      <c r="A288" s="1130"/>
      <c r="B288" s="1138"/>
      <c r="C288" s="1139"/>
      <c r="D288" s="1140"/>
      <c r="E288" s="1134"/>
      <c r="F288" s="1141"/>
      <c r="G288" s="1141"/>
      <c r="H288" s="1141"/>
      <c r="I288" s="1141"/>
      <c r="J288" s="1141"/>
      <c r="K288" s="1135"/>
      <c r="L288" s="1141"/>
      <c r="M288" s="1141"/>
      <c r="N288" s="1141"/>
      <c r="O288" s="1141"/>
      <c r="P288" s="1141"/>
      <c r="Q288" s="1141"/>
      <c r="R288" s="1141"/>
      <c r="S288" s="1141"/>
      <c r="T288" s="1141"/>
      <c r="U288" s="1135"/>
      <c r="V288" s="1141"/>
      <c r="W288" s="1141"/>
      <c r="X288" s="1141"/>
      <c r="Y288" s="1141"/>
      <c r="Z288" s="1141"/>
      <c r="AA288" s="1141"/>
      <c r="AB288" s="1141"/>
      <c r="AC288" s="1141"/>
      <c r="AD288" s="1141"/>
      <c r="AE288" s="1135"/>
      <c r="AF288" s="1141"/>
      <c r="AG288" s="1135"/>
      <c r="AH288" s="1141"/>
      <c r="AI288" s="1141"/>
      <c r="AJ288" s="1142"/>
      <c r="AK288" s="1137">
        <f t="shared" si="17"/>
        <v>0</v>
      </c>
      <c r="AL288" s="1137">
        <f t="shared" si="17"/>
        <v>0</v>
      </c>
    </row>
    <row r="289" spans="1:38" hidden="1" outlineLevel="2" x14ac:dyDescent="0.3">
      <c r="A289" s="1130"/>
      <c r="B289" s="1138"/>
      <c r="C289" s="1139"/>
      <c r="D289" s="1140"/>
      <c r="E289" s="1134"/>
      <c r="F289" s="1141"/>
      <c r="G289" s="1141"/>
      <c r="H289" s="1141"/>
      <c r="I289" s="1141"/>
      <c r="J289" s="1141"/>
      <c r="K289" s="1135"/>
      <c r="L289" s="1141"/>
      <c r="M289" s="1141"/>
      <c r="N289" s="1141"/>
      <c r="O289" s="1141"/>
      <c r="P289" s="1141"/>
      <c r="Q289" s="1141"/>
      <c r="R289" s="1141"/>
      <c r="S289" s="1141"/>
      <c r="T289" s="1141"/>
      <c r="U289" s="1135"/>
      <c r="V289" s="1141"/>
      <c r="W289" s="1141"/>
      <c r="X289" s="1141"/>
      <c r="Y289" s="1141"/>
      <c r="Z289" s="1141"/>
      <c r="AA289" s="1141"/>
      <c r="AB289" s="1141"/>
      <c r="AC289" s="1141"/>
      <c r="AD289" s="1141"/>
      <c r="AE289" s="1135"/>
      <c r="AF289" s="1141"/>
      <c r="AG289" s="1135"/>
      <c r="AH289" s="1141"/>
      <c r="AI289" s="1141"/>
      <c r="AJ289" s="1142"/>
      <c r="AK289" s="1137">
        <f t="shared" si="17"/>
        <v>0</v>
      </c>
      <c r="AL289" s="1137">
        <f t="shared" si="17"/>
        <v>0</v>
      </c>
    </row>
    <row r="290" spans="1:38" hidden="1" outlineLevel="2" x14ac:dyDescent="0.3">
      <c r="A290" s="1130"/>
      <c r="B290" s="1138"/>
      <c r="C290" s="1139"/>
      <c r="D290" s="1140"/>
      <c r="E290" s="1134"/>
      <c r="F290" s="1141"/>
      <c r="G290" s="1141"/>
      <c r="H290" s="1141"/>
      <c r="I290" s="1141"/>
      <c r="J290" s="1141"/>
      <c r="K290" s="1135"/>
      <c r="L290" s="1141"/>
      <c r="M290" s="1141"/>
      <c r="N290" s="1141"/>
      <c r="O290" s="1141"/>
      <c r="P290" s="1141"/>
      <c r="Q290" s="1141"/>
      <c r="R290" s="1141"/>
      <c r="S290" s="1141"/>
      <c r="T290" s="1141"/>
      <c r="U290" s="1135"/>
      <c r="V290" s="1141"/>
      <c r="W290" s="1141"/>
      <c r="X290" s="1141"/>
      <c r="Y290" s="1141"/>
      <c r="Z290" s="1141"/>
      <c r="AA290" s="1141"/>
      <c r="AB290" s="1141"/>
      <c r="AC290" s="1141"/>
      <c r="AD290" s="1141"/>
      <c r="AE290" s="1135"/>
      <c r="AF290" s="1141"/>
      <c r="AG290" s="1135"/>
      <c r="AH290" s="1141"/>
      <c r="AI290" s="1141"/>
      <c r="AJ290" s="1142"/>
      <c r="AK290" s="1137">
        <f t="shared" si="17"/>
        <v>0</v>
      </c>
      <c r="AL290" s="1137">
        <f t="shared" si="17"/>
        <v>0</v>
      </c>
    </row>
    <row r="291" spans="1:38" hidden="1" outlineLevel="2" x14ac:dyDescent="0.3">
      <c r="A291" s="1130"/>
      <c r="B291" s="1138"/>
      <c r="C291" s="1139"/>
      <c r="D291" s="1140"/>
      <c r="E291" s="1134"/>
      <c r="F291" s="1141"/>
      <c r="G291" s="1141"/>
      <c r="H291" s="1141"/>
      <c r="I291" s="1141"/>
      <c r="J291" s="1141"/>
      <c r="K291" s="1135"/>
      <c r="L291" s="1141"/>
      <c r="M291" s="1141"/>
      <c r="N291" s="1141"/>
      <c r="O291" s="1141"/>
      <c r="P291" s="1141"/>
      <c r="Q291" s="1141"/>
      <c r="R291" s="1141"/>
      <c r="S291" s="1141"/>
      <c r="T291" s="1141"/>
      <c r="U291" s="1135"/>
      <c r="V291" s="1141"/>
      <c r="W291" s="1141"/>
      <c r="X291" s="1141"/>
      <c r="Y291" s="1141"/>
      <c r="Z291" s="1141"/>
      <c r="AA291" s="1141"/>
      <c r="AB291" s="1141"/>
      <c r="AC291" s="1141"/>
      <c r="AD291" s="1141"/>
      <c r="AE291" s="1135"/>
      <c r="AF291" s="1141"/>
      <c r="AG291" s="1135"/>
      <c r="AH291" s="1141"/>
      <c r="AI291" s="1141"/>
      <c r="AJ291" s="1142"/>
      <c r="AK291" s="1137">
        <f t="shared" si="17"/>
        <v>0</v>
      </c>
      <c r="AL291" s="1137">
        <f t="shared" si="17"/>
        <v>0</v>
      </c>
    </row>
    <row r="292" spans="1:38" hidden="1" outlineLevel="2" x14ac:dyDescent="0.3">
      <c r="A292" s="1130"/>
      <c r="B292" s="1138"/>
      <c r="C292" s="1139"/>
      <c r="D292" s="1140"/>
      <c r="E292" s="1134"/>
      <c r="F292" s="1141"/>
      <c r="G292" s="1141"/>
      <c r="H292" s="1141"/>
      <c r="I292" s="1141"/>
      <c r="J292" s="1141"/>
      <c r="K292" s="1135"/>
      <c r="L292" s="1141"/>
      <c r="M292" s="1141"/>
      <c r="N292" s="1141"/>
      <c r="O292" s="1141"/>
      <c r="P292" s="1141"/>
      <c r="Q292" s="1141"/>
      <c r="R292" s="1141"/>
      <c r="S292" s="1141"/>
      <c r="T292" s="1141"/>
      <c r="U292" s="1135"/>
      <c r="V292" s="1141"/>
      <c r="W292" s="1141"/>
      <c r="X292" s="1141"/>
      <c r="Y292" s="1141"/>
      <c r="Z292" s="1141"/>
      <c r="AA292" s="1141"/>
      <c r="AB292" s="1141"/>
      <c r="AC292" s="1141"/>
      <c r="AD292" s="1141"/>
      <c r="AE292" s="1135"/>
      <c r="AF292" s="1141"/>
      <c r="AG292" s="1135"/>
      <c r="AH292" s="1141"/>
      <c r="AI292" s="1141"/>
      <c r="AJ292" s="1142"/>
      <c r="AK292" s="1137">
        <f t="shared" si="17"/>
        <v>0</v>
      </c>
      <c r="AL292" s="1137">
        <f t="shared" si="17"/>
        <v>0</v>
      </c>
    </row>
    <row r="293" spans="1:38" hidden="1" outlineLevel="2" x14ac:dyDescent="0.3">
      <c r="A293" s="1130"/>
      <c r="B293" s="1138"/>
      <c r="C293" s="1139"/>
      <c r="D293" s="1140"/>
      <c r="E293" s="1134"/>
      <c r="F293" s="1141"/>
      <c r="G293" s="1141"/>
      <c r="H293" s="1141"/>
      <c r="I293" s="1141"/>
      <c r="J293" s="1141"/>
      <c r="K293" s="1135"/>
      <c r="L293" s="1141"/>
      <c r="M293" s="1141"/>
      <c r="N293" s="1141"/>
      <c r="O293" s="1141"/>
      <c r="P293" s="1141"/>
      <c r="Q293" s="1141"/>
      <c r="R293" s="1141"/>
      <c r="S293" s="1141"/>
      <c r="T293" s="1141"/>
      <c r="U293" s="1135"/>
      <c r="V293" s="1141"/>
      <c r="W293" s="1141"/>
      <c r="X293" s="1141"/>
      <c r="Y293" s="1141"/>
      <c r="Z293" s="1141"/>
      <c r="AA293" s="1141"/>
      <c r="AB293" s="1141"/>
      <c r="AC293" s="1141"/>
      <c r="AD293" s="1141"/>
      <c r="AE293" s="1135"/>
      <c r="AF293" s="1141"/>
      <c r="AG293" s="1135"/>
      <c r="AH293" s="1141"/>
      <c r="AI293" s="1141"/>
      <c r="AJ293" s="1142"/>
      <c r="AK293" s="1137">
        <f t="shared" si="17"/>
        <v>0</v>
      </c>
      <c r="AL293" s="1137">
        <f t="shared" si="17"/>
        <v>0</v>
      </c>
    </row>
    <row r="294" spans="1:38" hidden="1" outlineLevel="2" x14ac:dyDescent="0.3">
      <c r="A294" s="1130"/>
      <c r="B294" s="1138"/>
      <c r="C294" s="1139"/>
      <c r="D294" s="1140"/>
      <c r="E294" s="1134"/>
      <c r="F294" s="1141"/>
      <c r="G294" s="1141"/>
      <c r="H294" s="1141"/>
      <c r="I294" s="1141"/>
      <c r="J294" s="1141"/>
      <c r="K294" s="1135"/>
      <c r="L294" s="1141"/>
      <c r="M294" s="1141"/>
      <c r="N294" s="1141"/>
      <c r="O294" s="1141"/>
      <c r="P294" s="1141"/>
      <c r="Q294" s="1141"/>
      <c r="R294" s="1141"/>
      <c r="S294" s="1141"/>
      <c r="T294" s="1141"/>
      <c r="U294" s="1135"/>
      <c r="V294" s="1141"/>
      <c r="W294" s="1141"/>
      <c r="X294" s="1141"/>
      <c r="Y294" s="1141"/>
      <c r="Z294" s="1141"/>
      <c r="AA294" s="1141"/>
      <c r="AB294" s="1141"/>
      <c r="AC294" s="1141"/>
      <c r="AD294" s="1141"/>
      <c r="AE294" s="1135"/>
      <c r="AF294" s="1141"/>
      <c r="AG294" s="1135"/>
      <c r="AH294" s="1141"/>
      <c r="AI294" s="1141"/>
      <c r="AJ294" s="1142"/>
      <c r="AK294" s="1137">
        <f t="shared" si="17"/>
        <v>0</v>
      </c>
      <c r="AL294" s="1137">
        <f t="shared" si="17"/>
        <v>0</v>
      </c>
    </row>
    <row r="295" spans="1:38" hidden="1" outlineLevel="2" x14ac:dyDescent="0.3">
      <c r="A295" s="1130"/>
      <c r="B295" s="1138"/>
      <c r="C295" s="1139"/>
      <c r="D295" s="1140"/>
      <c r="E295" s="1134"/>
      <c r="F295" s="1141"/>
      <c r="G295" s="1141"/>
      <c r="H295" s="1141"/>
      <c r="I295" s="1141"/>
      <c r="J295" s="1141"/>
      <c r="K295" s="1135"/>
      <c r="L295" s="1141"/>
      <c r="M295" s="1141"/>
      <c r="N295" s="1141"/>
      <c r="O295" s="1141"/>
      <c r="P295" s="1141"/>
      <c r="Q295" s="1141"/>
      <c r="R295" s="1141"/>
      <c r="S295" s="1141"/>
      <c r="T295" s="1141"/>
      <c r="U295" s="1135"/>
      <c r="V295" s="1141"/>
      <c r="W295" s="1141"/>
      <c r="X295" s="1141"/>
      <c r="Y295" s="1141"/>
      <c r="Z295" s="1141"/>
      <c r="AA295" s="1141"/>
      <c r="AB295" s="1141"/>
      <c r="AC295" s="1141"/>
      <c r="AD295" s="1141"/>
      <c r="AE295" s="1135"/>
      <c r="AF295" s="1141"/>
      <c r="AG295" s="1135"/>
      <c r="AH295" s="1141"/>
      <c r="AI295" s="1141"/>
      <c r="AJ295" s="1142"/>
      <c r="AK295" s="1137">
        <f t="shared" si="17"/>
        <v>0</v>
      </c>
      <c r="AL295" s="1137">
        <f t="shared" si="17"/>
        <v>0</v>
      </c>
    </row>
    <row r="296" spans="1:38" hidden="1" outlineLevel="2" x14ac:dyDescent="0.3">
      <c r="A296" s="1130"/>
      <c r="B296" s="1138"/>
      <c r="C296" s="1139"/>
      <c r="D296" s="1140"/>
      <c r="E296" s="1134"/>
      <c r="F296" s="1141"/>
      <c r="G296" s="1141"/>
      <c r="H296" s="1141"/>
      <c r="I296" s="1141"/>
      <c r="J296" s="1141"/>
      <c r="K296" s="1135"/>
      <c r="L296" s="1141"/>
      <c r="M296" s="1141"/>
      <c r="N296" s="1141"/>
      <c r="O296" s="1141"/>
      <c r="P296" s="1141"/>
      <c r="Q296" s="1141"/>
      <c r="R296" s="1141"/>
      <c r="S296" s="1141"/>
      <c r="T296" s="1141"/>
      <c r="U296" s="1135"/>
      <c r="V296" s="1141"/>
      <c r="W296" s="1141"/>
      <c r="X296" s="1141"/>
      <c r="Y296" s="1141"/>
      <c r="Z296" s="1141"/>
      <c r="AA296" s="1141"/>
      <c r="AB296" s="1141"/>
      <c r="AC296" s="1141"/>
      <c r="AD296" s="1141"/>
      <c r="AE296" s="1135"/>
      <c r="AF296" s="1141"/>
      <c r="AG296" s="1135"/>
      <c r="AH296" s="1141"/>
      <c r="AI296" s="1141"/>
      <c r="AJ296" s="1142"/>
      <c r="AK296" s="1137">
        <f t="shared" si="17"/>
        <v>0</v>
      </c>
      <c r="AL296" s="1137">
        <f t="shared" si="17"/>
        <v>0</v>
      </c>
    </row>
    <row r="297" spans="1:38" hidden="1" outlineLevel="2" x14ac:dyDescent="0.3">
      <c r="A297" s="1130"/>
      <c r="B297" s="1138"/>
      <c r="C297" s="1139"/>
      <c r="D297" s="1140"/>
      <c r="E297" s="1134"/>
      <c r="F297" s="1141"/>
      <c r="G297" s="1141"/>
      <c r="H297" s="1141"/>
      <c r="I297" s="1141"/>
      <c r="J297" s="1141"/>
      <c r="K297" s="1135"/>
      <c r="L297" s="1141"/>
      <c r="M297" s="1141"/>
      <c r="N297" s="1141"/>
      <c r="O297" s="1141"/>
      <c r="P297" s="1141"/>
      <c r="Q297" s="1141"/>
      <c r="R297" s="1141"/>
      <c r="S297" s="1141"/>
      <c r="T297" s="1141"/>
      <c r="U297" s="1135"/>
      <c r="V297" s="1141"/>
      <c r="W297" s="1141"/>
      <c r="X297" s="1141"/>
      <c r="Y297" s="1141"/>
      <c r="Z297" s="1141"/>
      <c r="AA297" s="1141"/>
      <c r="AB297" s="1141"/>
      <c r="AC297" s="1141"/>
      <c r="AD297" s="1141"/>
      <c r="AE297" s="1135"/>
      <c r="AF297" s="1141"/>
      <c r="AG297" s="1135"/>
      <c r="AH297" s="1141"/>
      <c r="AI297" s="1141"/>
      <c r="AJ297" s="1142"/>
      <c r="AK297" s="1137">
        <f t="shared" si="17"/>
        <v>0</v>
      </c>
      <c r="AL297" s="1137">
        <f t="shared" si="17"/>
        <v>0</v>
      </c>
    </row>
    <row r="298" spans="1:38" hidden="1" outlineLevel="2" x14ac:dyDescent="0.3">
      <c r="A298" s="1130"/>
      <c r="B298" s="1138"/>
      <c r="C298" s="1139"/>
      <c r="D298" s="1140"/>
      <c r="E298" s="1134"/>
      <c r="F298" s="1141"/>
      <c r="G298" s="1141"/>
      <c r="H298" s="1141"/>
      <c r="I298" s="1141"/>
      <c r="J298" s="1141"/>
      <c r="K298" s="1135"/>
      <c r="L298" s="1141"/>
      <c r="M298" s="1141"/>
      <c r="N298" s="1141"/>
      <c r="O298" s="1141"/>
      <c r="P298" s="1141"/>
      <c r="Q298" s="1141"/>
      <c r="R298" s="1141"/>
      <c r="S298" s="1141"/>
      <c r="T298" s="1141"/>
      <c r="U298" s="1135"/>
      <c r="V298" s="1141"/>
      <c r="W298" s="1141"/>
      <c r="X298" s="1141"/>
      <c r="Y298" s="1141"/>
      <c r="Z298" s="1141"/>
      <c r="AA298" s="1141"/>
      <c r="AB298" s="1141"/>
      <c r="AC298" s="1141"/>
      <c r="AD298" s="1141"/>
      <c r="AE298" s="1135"/>
      <c r="AF298" s="1141"/>
      <c r="AG298" s="1135"/>
      <c r="AH298" s="1141"/>
      <c r="AI298" s="1141"/>
      <c r="AJ298" s="1142"/>
      <c r="AK298" s="1137">
        <f t="shared" si="17"/>
        <v>0</v>
      </c>
      <c r="AL298" s="1137">
        <f t="shared" si="17"/>
        <v>0</v>
      </c>
    </row>
    <row r="299" spans="1:38" hidden="1" outlineLevel="2" x14ac:dyDescent="0.3">
      <c r="A299" s="1130"/>
      <c r="B299" s="1138"/>
      <c r="C299" s="1139"/>
      <c r="D299" s="1140"/>
      <c r="E299" s="1134"/>
      <c r="F299" s="1141"/>
      <c r="G299" s="1141"/>
      <c r="H299" s="1141"/>
      <c r="I299" s="1141"/>
      <c r="J299" s="1141"/>
      <c r="K299" s="1135"/>
      <c r="L299" s="1141"/>
      <c r="M299" s="1141"/>
      <c r="N299" s="1141"/>
      <c r="O299" s="1141"/>
      <c r="P299" s="1141"/>
      <c r="Q299" s="1141"/>
      <c r="R299" s="1141"/>
      <c r="S299" s="1141"/>
      <c r="T299" s="1141"/>
      <c r="U299" s="1135"/>
      <c r="V299" s="1141"/>
      <c r="W299" s="1141"/>
      <c r="X299" s="1141"/>
      <c r="Y299" s="1141"/>
      <c r="Z299" s="1141"/>
      <c r="AA299" s="1141"/>
      <c r="AB299" s="1141"/>
      <c r="AC299" s="1141"/>
      <c r="AD299" s="1141"/>
      <c r="AE299" s="1135"/>
      <c r="AF299" s="1141"/>
      <c r="AG299" s="1135"/>
      <c r="AH299" s="1141"/>
      <c r="AI299" s="1141"/>
      <c r="AJ299" s="1142"/>
      <c r="AK299" s="1137">
        <f t="shared" si="17"/>
        <v>0</v>
      </c>
      <c r="AL299" s="1137">
        <f t="shared" si="17"/>
        <v>0</v>
      </c>
    </row>
    <row r="300" spans="1:38" hidden="1" outlineLevel="2" x14ac:dyDescent="0.3">
      <c r="A300" s="1130"/>
      <c r="B300" s="1138"/>
      <c r="C300" s="1139"/>
      <c r="D300" s="1140"/>
      <c r="E300" s="1134"/>
      <c r="F300" s="1141"/>
      <c r="G300" s="1141"/>
      <c r="H300" s="1141"/>
      <c r="I300" s="1141"/>
      <c r="J300" s="1141"/>
      <c r="K300" s="1135"/>
      <c r="L300" s="1141"/>
      <c r="M300" s="1141"/>
      <c r="N300" s="1141"/>
      <c r="O300" s="1141"/>
      <c r="P300" s="1141"/>
      <c r="Q300" s="1141"/>
      <c r="R300" s="1141"/>
      <c r="S300" s="1141"/>
      <c r="T300" s="1141"/>
      <c r="U300" s="1135"/>
      <c r="V300" s="1141"/>
      <c r="W300" s="1141"/>
      <c r="X300" s="1141"/>
      <c r="Y300" s="1141"/>
      <c r="Z300" s="1141"/>
      <c r="AA300" s="1141"/>
      <c r="AB300" s="1141"/>
      <c r="AC300" s="1141"/>
      <c r="AD300" s="1141"/>
      <c r="AE300" s="1135"/>
      <c r="AF300" s="1141"/>
      <c r="AG300" s="1135"/>
      <c r="AH300" s="1141"/>
      <c r="AI300" s="1141"/>
      <c r="AJ300" s="1142"/>
      <c r="AK300" s="1137">
        <f t="shared" si="17"/>
        <v>0</v>
      </c>
      <c r="AL300" s="1137">
        <f t="shared" si="17"/>
        <v>0</v>
      </c>
    </row>
    <row r="301" spans="1:38" hidden="1" outlineLevel="2" x14ac:dyDescent="0.3">
      <c r="A301" s="1130"/>
      <c r="B301" s="1138"/>
      <c r="C301" s="1139"/>
      <c r="D301" s="1140"/>
      <c r="E301" s="1134"/>
      <c r="F301" s="1141"/>
      <c r="G301" s="1141"/>
      <c r="H301" s="1141"/>
      <c r="I301" s="1141"/>
      <c r="J301" s="1141"/>
      <c r="K301" s="1135"/>
      <c r="L301" s="1141"/>
      <c r="M301" s="1141"/>
      <c r="N301" s="1141"/>
      <c r="O301" s="1141"/>
      <c r="P301" s="1141"/>
      <c r="Q301" s="1141"/>
      <c r="R301" s="1141"/>
      <c r="S301" s="1141"/>
      <c r="T301" s="1141"/>
      <c r="U301" s="1135"/>
      <c r="V301" s="1141"/>
      <c r="W301" s="1141"/>
      <c r="X301" s="1141"/>
      <c r="Y301" s="1141"/>
      <c r="Z301" s="1141"/>
      <c r="AA301" s="1141"/>
      <c r="AB301" s="1141"/>
      <c r="AC301" s="1141"/>
      <c r="AD301" s="1141"/>
      <c r="AE301" s="1135"/>
      <c r="AF301" s="1141"/>
      <c r="AG301" s="1135"/>
      <c r="AH301" s="1141"/>
      <c r="AI301" s="1141"/>
      <c r="AJ301" s="1142"/>
      <c r="AK301" s="1137">
        <f t="shared" si="17"/>
        <v>0</v>
      </c>
      <c r="AL301" s="1137">
        <f t="shared" si="17"/>
        <v>0</v>
      </c>
    </row>
    <row r="302" spans="1:38" hidden="1" outlineLevel="2" x14ac:dyDescent="0.3">
      <c r="A302" s="1130"/>
      <c r="B302" s="1138"/>
      <c r="C302" s="1139"/>
      <c r="D302" s="1140"/>
      <c r="E302" s="1134"/>
      <c r="F302" s="1141"/>
      <c r="G302" s="1141"/>
      <c r="H302" s="1141"/>
      <c r="I302" s="1141"/>
      <c r="J302" s="1141"/>
      <c r="K302" s="1135"/>
      <c r="L302" s="1141"/>
      <c r="M302" s="1141"/>
      <c r="N302" s="1141"/>
      <c r="O302" s="1141"/>
      <c r="P302" s="1141"/>
      <c r="Q302" s="1141"/>
      <c r="R302" s="1141"/>
      <c r="S302" s="1141"/>
      <c r="T302" s="1141"/>
      <c r="U302" s="1135"/>
      <c r="V302" s="1141"/>
      <c r="W302" s="1141"/>
      <c r="X302" s="1141"/>
      <c r="Y302" s="1141"/>
      <c r="Z302" s="1141"/>
      <c r="AA302" s="1141"/>
      <c r="AB302" s="1141"/>
      <c r="AC302" s="1141"/>
      <c r="AD302" s="1141"/>
      <c r="AE302" s="1135"/>
      <c r="AF302" s="1141"/>
      <c r="AG302" s="1135"/>
      <c r="AH302" s="1141"/>
      <c r="AI302" s="1141"/>
      <c r="AJ302" s="1142"/>
      <c r="AK302" s="1137">
        <f t="shared" si="17"/>
        <v>0</v>
      </c>
      <c r="AL302" s="1137">
        <f t="shared" si="17"/>
        <v>0</v>
      </c>
    </row>
    <row r="303" spans="1:38" hidden="1" outlineLevel="2" x14ac:dyDescent="0.3">
      <c r="A303" s="1130"/>
      <c r="B303" s="1138"/>
      <c r="C303" s="1139"/>
      <c r="D303" s="1140"/>
      <c r="E303" s="1134"/>
      <c r="F303" s="1141"/>
      <c r="G303" s="1141"/>
      <c r="H303" s="1141"/>
      <c r="I303" s="1141"/>
      <c r="J303" s="1141"/>
      <c r="K303" s="1135"/>
      <c r="L303" s="1141"/>
      <c r="M303" s="1141"/>
      <c r="N303" s="1141"/>
      <c r="O303" s="1141"/>
      <c r="P303" s="1141"/>
      <c r="Q303" s="1141"/>
      <c r="R303" s="1141"/>
      <c r="S303" s="1141"/>
      <c r="T303" s="1141"/>
      <c r="U303" s="1135"/>
      <c r="V303" s="1141"/>
      <c r="W303" s="1141"/>
      <c r="X303" s="1141"/>
      <c r="Y303" s="1141"/>
      <c r="Z303" s="1141"/>
      <c r="AA303" s="1141"/>
      <c r="AB303" s="1141"/>
      <c r="AC303" s="1141"/>
      <c r="AD303" s="1141"/>
      <c r="AE303" s="1135"/>
      <c r="AF303" s="1141"/>
      <c r="AG303" s="1135"/>
      <c r="AH303" s="1141"/>
      <c r="AI303" s="1141"/>
      <c r="AJ303" s="1142"/>
      <c r="AK303" s="1137">
        <f t="shared" si="17"/>
        <v>0</v>
      </c>
      <c r="AL303" s="1137">
        <f t="shared" si="17"/>
        <v>0</v>
      </c>
    </row>
    <row r="304" spans="1:38" hidden="1" outlineLevel="2" x14ac:dyDescent="0.3">
      <c r="A304" s="1130"/>
      <c r="B304" s="1138"/>
      <c r="C304" s="1139"/>
      <c r="D304" s="1140"/>
      <c r="E304" s="1134"/>
      <c r="F304" s="1141"/>
      <c r="G304" s="1141"/>
      <c r="H304" s="1141"/>
      <c r="I304" s="1141"/>
      <c r="J304" s="1141"/>
      <c r="K304" s="1135"/>
      <c r="L304" s="1141"/>
      <c r="M304" s="1141"/>
      <c r="N304" s="1141"/>
      <c r="O304" s="1141"/>
      <c r="P304" s="1141"/>
      <c r="Q304" s="1141"/>
      <c r="R304" s="1141"/>
      <c r="S304" s="1141"/>
      <c r="T304" s="1141"/>
      <c r="U304" s="1135"/>
      <c r="V304" s="1141"/>
      <c r="W304" s="1141"/>
      <c r="X304" s="1141"/>
      <c r="Y304" s="1141"/>
      <c r="Z304" s="1141"/>
      <c r="AA304" s="1141"/>
      <c r="AB304" s="1141"/>
      <c r="AC304" s="1141"/>
      <c r="AD304" s="1141"/>
      <c r="AE304" s="1135"/>
      <c r="AF304" s="1141"/>
      <c r="AG304" s="1135"/>
      <c r="AH304" s="1141"/>
      <c r="AI304" s="1141"/>
      <c r="AJ304" s="1142"/>
      <c r="AK304" s="1137">
        <f t="shared" si="17"/>
        <v>0</v>
      </c>
      <c r="AL304" s="1137">
        <f t="shared" si="17"/>
        <v>0</v>
      </c>
    </row>
    <row r="305" spans="1:38" hidden="1" outlineLevel="2" x14ac:dyDescent="0.3">
      <c r="A305" s="1130"/>
      <c r="B305" s="1138"/>
      <c r="C305" s="1139"/>
      <c r="D305" s="1140"/>
      <c r="E305" s="1134"/>
      <c r="F305" s="1141"/>
      <c r="G305" s="1141"/>
      <c r="H305" s="1141"/>
      <c r="I305" s="1141"/>
      <c r="J305" s="1141"/>
      <c r="K305" s="1135"/>
      <c r="L305" s="1141"/>
      <c r="M305" s="1141"/>
      <c r="N305" s="1141"/>
      <c r="O305" s="1141"/>
      <c r="P305" s="1141"/>
      <c r="Q305" s="1141"/>
      <c r="R305" s="1141"/>
      <c r="S305" s="1141"/>
      <c r="T305" s="1141"/>
      <c r="U305" s="1135"/>
      <c r="V305" s="1141"/>
      <c r="W305" s="1141"/>
      <c r="X305" s="1141"/>
      <c r="Y305" s="1141"/>
      <c r="Z305" s="1141"/>
      <c r="AA305" s="1141"/>
      <c r="AB305" s="1141"/>
      <c r="AC305" s="1141"/>
      <c r="AD305" s="1141"/>
      <c r="AE305" s="1135"/>
      <c r="AF305" s="1141"/>
      <c r="AG305" s="1135"/>
      <c r="AH305" s="1141"/>
      <c r="AI305" s="1141"/>
      <c r="AJ305" s="1142"/>
      <c r="AK305" s="1137">
        <f t="shared" si="17"/>
        <v>0</v>
      </c>
      <c r="AL305" s="1137">
        <f t="shared" si="17"/>
        <v>0</v>
      </c>
    </row>
    <row r="306" spans="1:38" hidden="1" outlineLevel="2" x14ac:dyDescent="0.3">
      <c r="A306" s="1130"/>
      <c r="B306" s="1138"/>
      <c r="C306" s="1139"/>
      <c r="D306" s="1140"/>
      <c r="E306" s="1134"/>
      <c r="F306" s="1141"/>
      <c r="G306" s="1141"/>
      <c r="H306" s="1141"/>
      <c r="I306" s="1141"/>
      <c r="J306" s="1141"/>
      <c r="K306" s="1135"/>
      <c r="L306" s="1141"/>
      <c r="M306" s="1141"/>
      <c r="N306" s="1141"/>
      <c r="O306" s="1141"/>
      <c r="P306" s="1141"/>
      <c r="Q306" s="1141"/>
      <c r="R306" s="1141"/>
      <c r="S306" s="1141"/>
      <c r="T306" s="1141"/>
      <c r="U306" s="1135"/>
      <c r="V306" s="1141"/>
      <c r="W306" s="1141"/>
      <c r="X306" s="1141"/>
      <c r="Y306" s="1141"/>
      <c r="Z306" s="1141"/>
      <c r="AA306" s="1141"/>
      <c r="AB306" s="1141"/>
      <c r="AC306" s="1141"/>
      <c r="AD306" s="1141"/>
      <c r="AE306" s="1135"/>
      <c r="AF306" s="1141"/>
      <c r="AG306" s="1135"/>
      <c r="AH306" s="1141"/>
      <c r="AI306" s="1141"/>
      <c r="AJ306" s="1142"/>
      <c r="AK306" s="1137">
        <f t="shared" si="17"/>
        <v>0</v>
      </c>
      <c r="AL306" s="1137">
        <f t="shared" si="17"/>
        <v>0</v>
      </c>
    </row>
    <row r="307" spans="1:38" hidden="1" outlineLevel="2" x14ac:dyDescent="0.3">
      <c r="A307" s="1130"/>
      <c r="B307" s="1138"/>
      <c r="C307" s="1139"/>
      <c r="D307" s="1140"/>
      <c r="E307" s="1134"/>
      <c r="F307" s="1141"/>
      <c r="G307" s="1141"/>
      <c r="H307" s="1141"/>
      <c r="I307" s="1141"/>
      <c r="J307" s="1141"/>
      <c r="K307" s="1135"/>
      <c r="L307" s="1141"/>
      <c r="M307" s="1141"/>
      <c r="N307" s="1141"/>
      <c r="O307" s="1141"/>
      <c r="P307" s="1141"/>
      <c r="Q307" s="1141"/>
      <c r="R307" s="1141"/>
      <c r="S307" s="1141"/>
      <c r="T307" s="1141"/>
      <c r="U307" s="1135"/>
      <c r="V307" s="1141"/>
      <c r="W307" s="1141"/>
      <c r="X307" s="1141"/>
      <c r="Y307" s="1141"/>
      <c r="Z307" s="1141"/>
      <c r="AA307" s="1141"/>
      <c r="AB307" s="1141"/>
      <c r="AC307" s="1141"/>
      <c r="AD307" s="1141"/>
      <c r="AE307" s="1135"/>
      <c r="AF307" s="1141"/>
      <c r="AG307" s="1135"/>
      <c r="AH307" s="1141"/>
      <c r="AI307" s="1141"/>
      <c r="AJ307" s="1142"/>
      <c r="AK307" s="1137">
        <f t="shared" ref="AK307:AL324" si="18">SUM(E307,G307,I307)-SUM(K307,M307,O307,Q307,S307,U307,W307,Y307,AA307,AC307,AE307,AG307,AI307)</f>
        <v>0</v>
      </c>
      <c r="AL307" s="1137">
        <f t="shared" si="18"/>
        <v>0</v>
      </c>
    </row>
    <row r="308" spans="1:38" hidden="1" outlineLevel="2" x14ac:dyDescent="0.3">
      <c r="A308" s="1130"/>
      <c r="B308" s="1138"/>
      <c r="C308" s="1139"/>
      <c r="D308" s="1140"/>
      <c r="E308" s="1134"/>
      <c r="F308" s="1141"/>
      <c r="G308" s="1141"/>
      <c r="H308" s="1141"/>
      <c r="I308" s="1141"/>
      <c r="J308" s="1141"/>
      <c r="K308" s="1135"/>
      <c r="L308" s="1141"/>
      <c r="M308" s="1141"/>
      <c r="N308" s="1141"/>
      <c r="O308" s="1141"/>
      <c r="P308" s="1141"/>
      <c r="Q308" s="1141"/>
      <c r="R308" s="1141"/>
      <c r="S308" s="1141"/>
      <c r="T308" s="1141"/>
      <c r="U308" s="1135"/>
      <c r="V308" s="1141"/>
      <c r="W308" s="1141"/>
      <c r="X308" s="1141"/>
      <c r="Y308" s="1141"/>
      <c r="Z308" s="1141"/>
      <c r="AA308" s="1141"/>
      <c r="AB308" s="1141"/>
      <c r="AC308" s="1141"/>
      <c r="AD308" s="1141"/>
      <c r="AE308" s="1135"/>
      <c r="AF308" s="1141"/>
      <c r="AG308" s="1135"/>
      <c r="AH308" s="1141"/>
      <c r="AI308" s="1141"/>
      <c r="AJ308" s="1142"/>
      <c r="AK308" s="1137">
        <f t="shared" si="18"/>
        <v>0</v>
      </c>
      <c r="AL308" s="1137">
        <f t="shared" si="18"/>
        <v>0</v>
      </c>
    </row>
    <row r="309" spans="1:38" hidden="1" outlineLevel="2" x14ac:dyDescent="0.3">
      <c r="A309" s="1130"/>
      <c r="B309" s="1138"/>
      <c r="C309" s="1139"/>
      <c r="D309" s="1140"/>
      <c r="E309" s="1134"/>
      <c r="F309" s="1141"/>
      <c r="G309" s="1141"/>
      <c r="H309" s="1141"/>
      <c r="I309" s="1141"/>
      <c r="J309" s="1141"/>
      <c r="K309" s="1135"/>
      <c r="L309" s="1141"/>
      <c r="M309" s="1141"/>
      <c r="N309" s="1141"/>
      <c r="O309" s="1141"/>
      <c r="P309" s="1141"/>
      <c r="Q309" s="1141"/>
      <c r="R309" s="1141"/>
      <c r="S309" s="1141"/>
      <c r="T309" s="1141"/>
      <c r="U309" s="1135"/>
      <c r="V309" s="1141"/>
      <c r="W309" s="1141"/>
      <c r="X309" s="1141"/>
      <c r="Y309" s="1141"/>
      <c r="Z309" s="1141"/>
      <c r="AA309" s="1141"/>
      <c r="AB309" s="1141"/>
      <c r="AC309" s="1141"/>
      <c r="AD309" s="1141"/>
      <c r="AE309" s="1135"/>
      <c r="AF309" s="1141"/>
      <c r="AG309" s="1135"/>
      <c r="AH309" s="1141"/>
      <c r="AI309" s="1141"/>
      <c r="AJ309" s="1142"/>
      <c r="AK309" s="1137">
        <f t="shared" si="18"/>
        <v>0</v>
      </c>
      <c r="AL309" s="1137">
        <f t="shared" si="18"/>
        <v>0</v>
      </c>
    </row>
    <row r="310" spans="1:38" hidden="1" outlineLevel="2" x14ac:dyDescent="0.3">
      <c r="A310" s="1130"/>
      <c r="B310" s="1138"/>
      <c r="C310" s="1139"/>
      <c r="D310" s="1140"/>
      <c r="E310" s="1134"/>
      <c r="F310" s="1141"/>
      <c r="G310" s="1141"/>
      <c r="H310" s="1141"/>
      <c r="I310" s="1141"/>
      <c r="J310" s="1141"/>
      <c r="K310" s="1135"/>
      <c r="L310" s="1141"/>
      <c r="M310" s="1141"/>
      <c r="N310" s="1141"/>
      <c r="O310" s="1141"/>
      <c r="P310" s="1141"/>
      <c r="Q310" s="1141"/>
      <c r="R310" s="1141"/>
      <c r="S310" s="1141"/>
      <c r="T310" s="1141"/>
      <c r="U310" s="1135"/>
      <c r="V310" s="1141"/>
      <c r="W310" s="1141"/>
      <c r="X310" s="1141"/>
      <c r="Y310" s="1141"/>
      <c r="Z310" s="1141"/>
      <c r="AA310" s="1141"/>
      <c r="AB310" s="1141"/>
      <c r="AC310" s="1141"/>
      <c r="AD310" s="1141"/>
      <c r="AE310" s="1135"/>
      <c r="AF310" s="1141"/>
      <c r="AG310" s="1135"/>
      <c r="AH310" s="1141"/>
      <c r="AI310" s="1141"/>
      <c r="AJ310" s="1142"/>
      <c r="AK310" s="1137">
        <f t="shared" si="18"/>
        <v>0</v>
      </c>
      <c r="AL310" s="1137">
        <f t="shared" si="18"/>
        <v>0</v>
      </c>
    </row>
    <row r="311" spans="1:38" hidden="1" outlineLevel="2" x14ac:dyDescent="0.3">
      <c r="A311" s="1130"/>
      <c r="B311" s="1138"/>
      <c r="C311" s="1139"/>
      <c r="D311" s="1140"/>
      <c r="E311" s="1134"/>
      <c r="F311" s="1141"/>
      <c r="G311" s="1141"/>
      <c r="H311" s="1141"/>
      <c r="I311" s="1141"/>
      <c r="J311" s="1141"/>
      <c r="K311" s="1135"/>
      <c r="L311" s="1141"/>
      <c r="M311" s="1141"/>
      <c r="N311" s="1141"/>
      <c r="O311" s="1141"/>
      <c r="P311" s="1141"/>
      <c r="Q311" s="1141"/>
      <c r="R311" s="1141"/>
      <c r="S311" s="1141"/>
      <c r="T311" s="1141"/>
      <c r="U311" s="1135"/>
      <c r="V311" s="1141"/>
      <c r="W311" s="1141"/>
      <c r="X311" s="1141"/>
      <c r="Y311" s="1141"/>
      <c r="Z311" s="1141"/>
      <c r="AA311" s="1141"/>
      <c r="AB311" s="1141"/>
      <c r="AC311" s="1141"/>
      <c r="AD311" s="1141"/>
      <c r="AE311" s="1135"/>
      <c r="AF311" s="1141"/>
      <c r="AG311" s="1135"/>
      <c r="AH311" s="1141"/>
      <c r="AI311" s="1141"/>
      <c r="AJ311" s="1142"/>
      <c r="AK311" s="1137">
        <f t="shared" si="18"/>
        <v>0</v>
      </c>
      <c r="AL311" s="1137">
        <f t="shared" si="18"/>
        <v>0</v>
      </c>
    </row>
    <row r="312" spans="1:38" hidden="1" outlineLevel="2" x14ac:dyDescent="0.3">
      <c r="A312" s="1130"/>
      <c r="B312" s="1138"/>
      <c r="C312" s="1139"/>
      <c r="D312" s="1140"/>
      <c r="E312" s="1134"/>
      <c r="F312" s="1141"/>
      <c r="G312" s="1141"/>
      <c r="H312" s="1141"/>
      <c r="I312" s="1141"/>
      <c r="J312" s="1141"/>
      <c r="K312" s="1135"/>
      <c r="L312" s="1141"/>
      <c r="M312" s="1141"/>
      <c r="N312" s="1141"/>
      <c r="O312" s="1141"/>
      <c r="P312" s="1141"/>
      <c r="Q312" s="1141"/>
      <c r="R312" s="1141"/>
      <c r="S312" s="1141"/>
      <c r="T312" s="1141"/>
      <c r="U312" s="1135"/>
      <c r="V312" s="1141"/>
      <c r="W312" s="1141"/>
      <c r="X312" s="1141"/>
      <c r="Y312" s="1141"/>
      <c r="Z312" s="1141"/>
      <c r="AA312" s="1141"/>
      <c r="AB312" s="1141"/>
      <c r="AC312" s="1141"/>
      <c r="AD312" s="1141"/>
      <c r="AE312" s="1135"/>
      <c r="AF312" s="1141"/>
      <c r="AG312" s="1135"/>
      <c r="AH312" s="1141"/>
      <c r="AI312" s="1141"/>
      <c r="AJ312" s="1142"/>
      <c r="AK312" s="1137">
        <f t="shared" si="18"/>
        <v>0</v>
      </c>
      <c r="AL312" s="1137">
        <f t="shared" si="18"/>
        <v>0</v>
      </c>
    </row>
    <row r="313" spans="1:38" hidden="1" outlineLevel="2" x14ac:dyDescent="0.3">
      <c r="A313" s="1130"/>
      <c r="B313" s="1138"/>
      <c r="C313" s="1139"/>
      <c r="D313" s="1140"/>
      <c r="E313" s="1134"/>
      <c r="F313" s="1141"/>
      <c r="G313" s="1141"/>
      <c r="H313" s="1141"/>
      <c r="I313" s="1141"/>
      <c r="J313" s="1141"/>
      <c r="K313" s="1135"/>
      <c r="L313" s="1141"/>
      <c r="M313" s="1141"/>
      <c r="N313" s="1141"/>
      <c r="O313" s="1141"/>
      <c r="P313" s="1141"/>
      <c r="Q313" s="1141"/>
      <c r="R313" s="1141"/>
      <c r="S313" s="1141"/>
      <c r="T313" s="1141"/>
      <c r="U313" s="1135"/>
      <c r="V313" s="1141"/>
      <c r="W313" s="1141"/>
      <c r="X313" s="1141"/>
      <c r="Y313" s="1141"/>
      <c r="Z313" s="1141"/>
      <c r="AA313" s="1141"/>
      <c r="AB313" s="1141"/>
      <c r="AC313" s="1141"/>
      <c r="AD313" s="1141"/>
      <c r="AE313" s="1135"/>
      <c r="AF313" s="1141"/>
      <c r="AG313" s="1135"/>
      <c r="AH313" s="1141"/>
      <c r="AI313" s="1141"/>
      <c r="AJ313" s="1142"/>
      <c r="AK313" s="1137">
        <f t="shared" si="18"/>
        <v>0</v>
      </c>
      <c r="AL313" s="1137">
        <f t="shared" si="18"/>
        <v>0</v>
      </c>
    </row>
    <row r="314" spans="1:38" hidden="1" outlineLevel="2" x14ac:dyDescent="0.3">
      <c r="A314" s="1130"/>
      <c r="B314" s="1138"/>
      <c r="C314" s="1139"/>
      <c r="D314" s="1140"/>
      <c r="E314" s="1134"/>
      <c r="F314" s="1141"/>
      <c r="G314" s="1141"/>
      <c r="H314" s="1141"/>
      <c r="I314" s="1141"/>
      <c r="J314" s="1141"/>
      <c r="K314" s="1135"/>
      <c r="L314" s="1141"/>
      <c r="M314" s="1141"/>
      <c r="N314" s="1141"/>
      <c r="O314" s="1141"/>
      <c r="P314" s="1141"/>
      <c r="Q314" s="1141"/>
      <c r="R314" s="1141"/>
      <c r="S314" s="1141"/>
      <c r="T314" s="1141"/>
      <c r="U314" s="1135"/>
      <c r="V314" s="1141"/>
      <c r="W314" s="1141"/>
      <c r="X314" s="1141"/>
      <c r="Y314" s="1141"/>
      <c r="Z314" s="1141"/>
      <c r="AA314" s="1141"/>
      <c r="AB314" s="1141"/>
      <c r="AC314" s="1141"/>
      <c r="AD314" s="1141"/>
      <c r="AE314" s="1135"/>
      <c r="AF314" s="1141"/>
      <c r="AG314" s="1135"/>
      <c r="AH314" s="1141"/>
      <c r="AI314" s="1141"/>
      <c r="AJ314" s="1142"/>
      <c r="AK314" s="1137">
        <f t="shared" si="18"/>
        <v>0</v>
      </c>
      <c r="AL314" s="1137">
        <f t="shared" si="18"/>
        <v>0</v>
      </c>
    </row>
    <row r="315" spans="1:38" hidden="1" outlineLevel="2" x14ac:dyDescent="0.3">
      <c r="A315" s="1130"/>
      <c r="B315" s="1138"/>
      <c r="C315" s="1139"/>
      <c r="D315" s="1140"/>
      <c r="E315" s="1134"/>
      <c r="F315" s="1141"/>
      <c r="G315" s="1141"/>
      <c r="H315" s="1141"/>
      <c r="I315" s="1141"/>
      <c r="J315" s="1141"/>
      <c r="K315" s="1135"/>
      <c r="L315" s="1141"/>
      <c r="M315" s="1141"/>
      <c r="N315" s="1141"/>
      <c r="O315" s="1141"/>
      <c r="P315" s="1141"/>
      <c r="Q315" s="1141"/>
      <c r="R315" s="1141"/>
      <c r="S315" s="1141"/>
      <c r="T315" s="1141"/>
      <c r="U315" s="1135"/>
      <c r="V315" s="1141"/>
      <c r="W315" s="1141"/>
      <c r="X315" s="1141"/>
      <c r="Y315" s="1141"/>
      <c r="Z315" s="1141"/>
      <c r="AA315" s="1141"/>
      <c r="AB315" s="1141"/>
      <c r="AC315" s="1141"/>
      <c r="AD315" s="1141"/>
      <c r="AE315" s="1135"/>
      <c r="AF315" s="1141"/>
      <c r="AG315" s="1135"/>
      <c r="AH315" s="1141"/>
      <c r="AI315" s="1141"/>
      <c r="AJ315" s="1142"/>
      <c r="AK315" s="1137">
        <f t="shared" si="18"/>
        <v>0</v>
      </c>
      <c r="AL315" s="1137">
        <f t="shared" si="18"/>
        <v>0</v>
      </c>
    </row>
    <row r="316" spans="1:38" hidden="1" outlineLevel="2" x14ac:dyDescent="0.3">
      <c r="A316" s="1130"/>
      <c r="B316" s="1138"/>
      <c r="C316" s="1139"/>
      <c r="D316" s="1140"/>
      <c r="E316" s="1134"/>
      <c r="F316" s="1141"/>
      <c r="G316" s="1141"/>
      <c r="H316" s="1141"/>
      <c r="I316" s="1141"/>
      <c r="J316" s="1141"/>
      <c r="K316" s="1135"/>
      <c r="L316" s="1141"/>
      <c r="M316" s="1141"/>
      <c r="N316" s="1141"/>
      <c r="O316" s="1141"/>
      <c r="P316" s="1141"/>
      <c r="Q316" s="1141"/>
      <c r="R316" s="1141"/>
      <c r="S316" s="1141"/>
      <c r="T316" s="1141"/>
      <c r="U316" s="1135"/>
      <c r="V316" s="1141"/>
      <c r="W316" s="1141"/>
      <c r="X316" s="1141"/>
      <c r="Y316" s="1141"/>
      <c r="Z316" s="1141"/>
      <c r="AA316" s="1141"/>
      <c r="AB316" s="1141"/>
      <c r="AC316" s="1141"/>
      <c r="AD316" s="1141"/>
      <c r="AE316" s="1135"/>
      <c r="AF316" s="1141"/>
      <c r="AG316" s="1135"/>
      <c r="AH316" s="1141"/>
      <c r="AI316" s="1141"/>
      <c r="AJ316" s="1142"/>
      <c r="AK316" s="1137">
        <f t="shared" si="18"/>
        <v>0</v>
      </c>
      <c r="AL316" s="1137">
        <f t="shared" si="18"/>
        <v>0</v>
      </c>
    </row>
    <row r="317" spans="1:38" hidden="1" outlineLevel="2" x14ac:dyDescent="0.3">
      <c r="A317" s="1130"/>
      <c r="B317" s="1138"/>
      <c r="C317" s="1139"/>
      <c r="D317" s="1140"/>
      <c r="E317" s="1134"/>
      <c r="F317" s="1141"/>
      <c r="G317" s="1141"/>
      <c r="H317" s="1141"/>
      <c r="I317" s="1141"/>
      <c r="J317" s="1141"/>
      <c r="K317" s="1135"/>
      <c r="L317" s="1141"/>
      <c r="M317" s="1141"/>
      <c r="N317" s="1141"/>
      <c r="O317" s="1141"/>
      <c r="P317" s="1141"/>
      <c r="Q317" s="1141"/>
      <c r="R317" s="1141"/>
      <c r="S317" s="1141"/>
      <c r="T317" s="1141"/>
      <c r="U317" s="1135"/>
      <c r="V317" s="1141"/>
      <c r="W317" s="1141"/>
      <c r="X317" s="1141"/>
      <c r="Y317" s="1141"/>
      <c r="Z317" s="1141"/>
      <c r="AA317" s="1141"/>
      <c r="AB317" s="1141"/>
      <c r="AC317" s="1141"/>
      <c r="AD317" s="1141"/>
      <c r="AE317" s="1135"/>
      <c r="AF317" s="1141"/>
      <c r="AG317" s="1135"/>
      <c r="AH317" s="1141"/>
      <c r="AI317" s="1141"/>
      <c r="AJ317" s="1142"/>
      <c r="AK317" s="1137">
        <f t="shared" si="18"/>
        <v>0</v>
      </c>
      <c r="AL317" s="1137">
        <f t="shared" si="18"/>
        <v>0</v>
      </c>
    </row>
    <row r="318" spans="1:38" hidden="1" outlineLevel="2" x14ac:dyDescent="0.3">
      <c r="A318" s="1130"/>
      <c r="B318" s="1138"/>
      <c r="C318" s="1139"/>
      <c r="D318" s="1140"/>
      <c r="E318" s="1134"/>
      <c r="F318" s="1141"/>
      <c r="G318" s="1141"/>
      <c r="H318" s="1141"/>
      <c r="I318" s="1141"/>
      <c r="J318" s="1141"/>
      <c r="K318" s="1135"/>
      <c r="L318" s="1141"/>
      <c r="M318" s="1141"/>
      <c r="N318" s="1141"/>
      <c r="O318" s="1141"/>
      <c r="P318" s="1141"/>
      <c r="Q318" s="1141"/>
      <c r="R318" s="1141"/>
      <c r="S318" s="1141"/>
      <c r="T318" s="1141"/>
      <c r="U318" s="1135"/>
      <c r="V318" s="1141"/>
      <c r="W318" s="1141"/>
      <c r="X318" s="1141"/>
      <c r="Y318" s="1141"/>
      <c r="Z318" s="1141"/>
      <c r="AA318" s="1141"/>
      <c r="AB318" s="1141"/>
      <c r="AC318" s="1141"/>
      <c r="AD318" s="1141"/>
      <c r="AE318" s="1135"/>
      <c r="AF318" s="1141"/>
      <c r="AG318" s="1135"/>
      <c r="AH318" s="1141"/>
      <c r="AI318" s="1141"/>
      <c r="AJ318" s="1142"/>
      <c r="AK318" s="1137">
        <f t="shared" si="18"/>
        <v>0</v>
      </c>
      <c r="AL318" s="1137">
        <f t="shared" si="18"/>
        <v>0</v>
      </c>
    </row>
    <row r="319" spans="1:38" hidden="1" outlineLevel="2" x14ac:dyDescent="0.3">
      <c r="A319" s="1130"/>
      <c r="B319" s="1138"/>
      <c r="C319" s="1139"/>
      <c r="D319" s="1140"/>
      <c r="E319" s="1134"/>
      <c r="F319" s="1141"/>
      <c r="G319" s="1141"/>
      <c r="H319" s="1141"/>
      <c r="I319" s="1141"/>
      <c r="J319" s="1141"/>
      <c r="K319" s="1135"/>
      <c r="L319" s="1141"/>
      <c r="M319" s="1141"/>
      <c r="N319" s="1141"/>
      <c r="O319" s="1141"/>
      <c r="P319" s="1141"/>
      <c r="Q319" s="1141"/>
      <c r="R319" s="1141"/>
      <c r="S319" s="1141"/>
      <c r="T319" s="1141"/>
      <c r="U319" s="1135"/>
      <c r="V319" s="1141"/>
      <c r="W319" s="1141"/>
      <c r="X319" s="1141"/>
      <c r="Y319" s="1141"/>
      <c r="Z319" s="1141"/>
      <c r="AA319" s="1141"/>
      <c r="AB319" s="1141"/>
      <c r="AC319" s="1141"/>
      <c r="AD319" s="1141"/>
      <c r="AE319" s="1135"/>
      <c r="AF319" s="1141"/>
      <c r="AG319" s="1135"/>
      <c r="AH319" s="1141"/>
      <c r="AI319" s="1141"/>
      <c r="AJ319" s="1142"/>
      <c r="AK319" s="1137">
        <f t="shared" si="18"/>
        <v>0</v>
      </c>
      <c r="AL319" s="1137">
        <f t="shared" si="18"/>
        <v>0</v>
      </c>
    </row>
    <row r="320" spans="1:38" hidden="1" outlineLevel="2" x14ac:dyDescent="0.3">
      <c r="A320" s="1130"/>
      <c r="B320" s="1138"/>
      <c r="C320" s="1139"/>
      <c r="D320" s="1140"/>
      <c r="E320" s="1134"/>
      <c r="F320" s="1141"/>
      <c r="G320" s="1141"/>
      <c r="H320" s="1141"/>
      <c r="I320" s="1141"/>
      <c r="J320" s="1141"/>
      <c r="K320" s="1135"/>
      <c r="L320" s="1141"/>
      <c r="M320" s="1141"/>
      <c r="N320" s="1141"/>
      <c r="O320" s="1141"/>
      <c r="P320" s="1141"/>
      <c r="Q320" s="1141"/>
      <c r="R320" s="1141"/>
      <c r="S320" s="1141"/>
      <c r="T320" s="1141"/>
      <c r="U320" s="1135"/>
      <c r="V320" s="1141"/>
      <c r="W320" s="1141"/>
      <c r="X320" s="1141"/>
      <c r="Y320" s="1141"/>
      <c r="Z320" s="1141"/>
      <c r="AA320" s="1141"/>
      <c r="AB320" s="1141"/>
      <c r="AC320" s="1141"/>
      <c r="AD320" s="1141"/>
      <c r="AE320" s="1135"/>
      <c r="AF320" s="1141"/>
      <c r="AG320" s="1135"/>
      <c r="AH320" s="1141"/>
      <c r="AI320" s="1141"/>
      <c r="AJ320" s="1142"/>
      <c r="AK320" s="1137">
        <f t="shared" si="18"/>
        <v>0</v>
      </c>
      <c r="AL320" s="1137">
        <f t="shared" si="18"/>
        <v>0</v>
      </c>
    </row>
    <row r="321" spans="1:38" hidden="1" outlineLevel="2" x14ac:dyDescent="0.3">
      <c r="A321" s="1130"/>
      <c r="B321" s="1138"/>
      <c r="C321" s="1139"/>
      <c r="D321" s="1140"/>
      <c r="E321" s="1134"/>
      <c r="F321" s="1141"/>
      <c r="G321" s="1141"/>
      <c r="H321" s="1141"/>
      <c r="I321" s="1141"/>
      <c r="J321" s="1141"/>
      <c r="K321" s="1135"/>
      <c r="L321" s="1141"/>
      <c r="M321" s="1141"/>
      <c r="N321" s="1141"/>
      <c r="O321" s="1141"/>
      <c r="P321" s="1141"/>
      <c r="Q321" s="1141"/>
      <c r="R321" s="1141"/>
      <c r="S321" s="1141"/>
      <c r="T321" s="1141"/>
      <c r="U321" s="1135"/>
      <c r="V321" s="1141"/>
      <c r="W321" s="1141"/>
      <c r="X321" s="1141"/>
      <c r="Y321" s="1141"/>
      <c r="Z321" s="1141"/>
      <c r="AA321" s="1141"/>
      <c r="AB321" s="1141"/>
      <c r="AC321" s="1141"/>
      <c r="AD321" s="1141"/>
      <c r="AE321" s="1135"/>
      <c r="AF321" s="1141"/>
      <c r="AG321" s="1135"/>
      <c r="AH321" s="1141"/>
      <c r="AI321" s="1141"/>
      <c r="AJ321" s="1142"/>
      <c r="AK321" s="1137">
        <f t="shared" si="18"/>
        <v>0</v>
      </c>
      <c r="AL321" s="1137">
        <f t="shared" si="18"/>
        <v>0</v>
      </c>
    </row>
    <row r="322" spans="1:38" hidden="1" outlineLevel="2" x14ac:dyDescent="0.3">
      <c r="A322" s="1130"/>
      <c r="B322" s="1138"/>
      <c r="C322" s="1139"/>
      <c r="D322" s="1140"/>
      <c r="E322" s="1134"/>
      <c r="F322" s="1141"/>
      <c r="G322" s="1141"/>
      <c r="H322" s="1141"/>
      <c r="I322" s="1141"/>
      <c r="J322" s="1141"/>
      <c r="K322" s="1135"/>
      <c r="L322" s="1141"/>
      <c r="M322" s="1141"/>
      <c r="N322" s="1141"/>
      <c r="O322" s="1141"/>
      <c r="P322" s="1141"/>
      <c r="Q322" s="1141"/>
      <c r="R322" s="1141"/>
      <c r="S322" s="1141"/>
      <c r="T322" s="1141"/>
      <c r="U322" s="1135"/>
      <c r="V322" s="1141"/>
      <c r="W322" s="1141"/>
      <c r="X322" s="1141"/>
      <c r="Y322" s="1141"/>
      <c r="Z322" s="1141"/>
      <c r="AA322" s="1141"/>
      <c r="AB322" s="1141"/>
      <c r="AC322" s="1141"/>
      <c r="AD322" s="1141"/>
      <c r="AE322" s="1135"/>
      <c r="AF322" s="1141"/>
      <c r="AG322" s="1135"/>
      <c r="AH322" s="1141"/>
      <c r="AI322" s="1141"/>
      <c r="AJ322" s="1142"/>
      <c r="AK322" s="1137">
        <f t="shared" si="18"/>
        <v>0</v>
      </c>
      <c r="AL322" s="1137">
        <f t="shared" si="18"/>
        <v>0</v>
      </c>
    </row>
    <row r="323" spans="1:38" hidden="1" outlineLevel="2" x14ac:dyDescent="0.3">
      <c r="A323" s="1130"/>
      <c r="B323" s="1138"/>
      <c r="C323" s="1139"/>
      <c r="D323" s="1140"/>
      <c r="E323" s="1134"/>
      <c r="F323" s="1141"/>
      <c r="G323" s="1141"/>
      <c r="H323" s="1141"/>
      <c r="I323" s="1141"/>
      <c r="J323" s="1141"/>
      <c r="K323" s="1135"/>
      <c r="L323" s="1141"/>
      <c r="M323" s="1141"/>
      <c r="N323" s="1141"/>
      <c r="O323" s="1141"/>
      <c r="P323" s="1141"/>
      <c r="Q323" s="1141"/>
      <c r="R323" s="1141"/>
      <c r="S323" s="1141"/>
      <c r="T323" s="1141"/>
      <c r="U323" s="1135"/>
      <c r="V323" s="1141"/>
      <c r="W323" s="1141"/>
      <c r="X323" s="1141"/>
      <c r="Y323" s="1141"/>
      <c r="Z323" s="1141"/>
      <c r="AA323" s="1141"/>
      <c r="AB323" s="1141"/>
      <c r="AC323" s="1141"/>
      <c r="AD323" s="1141"/>
      <c r="AE323" s="1135"/>
      <c r="AF323" s="1141"/>
      <c r="AG323" s="1135"/>
      <c r="AH323" s="1141"/>
      <c r="AI323" s="1141"/>
      <c r="AJ323" s="1142"/>
      <c r="AK323" s="1137">
        <f t="shared" si="18"/>
        <v>0</v>
      </c>
      <c r="AL323" s="1137">
        <f t="shared" si="18"/>
        <v>0</v>
      </c>
    </row>
    <row r="324" spans="1:38" hidden="1" outlineLevel="2" x14ac:dyDescent="0.3">
      <c r="A324" s="1130"/>
      <c r="B324" s="1138"/>
      <c r="C324" s="1139"/>
      <c r="D324" s="1140"/>
      <c r="E324" s="1134"/>
      <c r="F324" s="1141"/>
      <c r="G324" s="1141"/>
      <c r="H324" s="1141"/>
      <c r="I324" s="1141"/>
      <c r="J324" s="1141"/>
      <c r="K324" s="1135"/>
      <c r="L324" s="1141"/>
      <c r="M324" s="1141"/>
      <c r="N324" s="1141"/>
      <c r="O324" s="1141"/>
      <c r="P324" s="1141"/>
      <c r="Q324" s="1141"/>
      <c r="R324" s="1141"/>
      <c r="S324" s="1141"/>
      <c r="T324" s="1141"/>
      <c r="U324" s="1135"/>
      <c r="V324" s="1141"/>
      <c r="W324" s="1141"/>
      <c r="X324" s="1141"/>
      <c r="Y324" s="1141"/>
      <c r="Z324" s="1141"/>
      <c r="AA324" s="1141"/>
      <c r="AB324" s="1141"/>
      <c r="AC324" s="1141"/>
      <c r="AD324" s="1141"/>
      <c r="AE324" s="1135"/>
      <c r="AF324" s="1141"/>
      <c r="AG324" s="1135"/>
      <c r="AH324" s="1141"/>
      <c r="AI324" s="1141"/>
      <c r="AJ324" s="1142"/>
      <c r="AK324" s="1137">
        <f t="shared" si="18"/>
        <v>0</v>
      </c>
      <c r="AL324" s="1137">
        <f t="shared" si="18"/>
        <v>0</v>
      </c>
    </row>
    <row r="325" spans="1:38" hidden="1" outlineLevel="2" x14ac:dyDescent="0.3">
      <c r="A325" s="1130"/>
      <c r="B325" s="1138"/>
      <c r="C325" s="1139"/>
      <c r="D325" s="1140"/>
      <c r="E325" s="1143"/>
      <c r="F325" s="1141"/>
      <c r="G325" s="1141"/>
      <c r="H325" s="1141"/>
      <c r="I325" s="1141"/>
      <c r="J325" s="1141"/>
      <c r="K325" s="1141"/>
      <c r="L325" s="1141"/>
      <c r="M325" s="1141"/>
      <c r="N325" s="1141"/>
      <c r="O325" s="1141"/>
      <c r="P325" s="1141"/>
      <c r="Q325" s="1141"/>
      <c r="R325" s="1141"/>
      <c r="S325" s="1141"/>
      <c r="T325" s="1141"/>
      <c r="U325" s="1135"/>
      <c r="V325" s="1141"/>
      <c r="W325" s="1141"/>
      <c r="X325" s="1141"/>
      <c r="Y325" s="1141"/>
      <c r="Z325" s="1141"/>
      <c r="AA325" s="1141"/>
      <c r="AB325" s="1141"/>
      <c r="AC325" s="1141"/>
      <c r="AD325" s="1141"/>
      <c r="AE325" s="1135"/>
      <c r="AF325" s="1141"/>
      <c r="AG325" s="1135"/>
      <c r="AH325" s="1141"/>
      <c r="AI325" s="1141"/>
      <c r="AJ325" s="1142"/>
      <c r="AK325" s="1137"/>
      <c r="AL325" s="1144"/>
    </row>
    <row r="326" spans="1:38" hidden="1" outlineLevel="2" x14ac:dyDescent="0.3">
      <c r="A326" s="1130"/>
      <c r="B326" s="1138"/>
      <c r="C326" s="1139"/>
      <c r="D326" s="1140"/>
      <c r="E326" s="1143"/>
      <c r="F326" s="1141"/>
      <c r="G326" s="1141"/>
      <c r="H326" s="1141"/>
      <c r="I326" s="1141"/>
      <c r="J326" s="1141"/>
      <c r="K326" s="1141"/>
      <c r="L326" s="1141"/>
      <c r="M326" s="1141"/>
      <c r="N326" s="1141"/>
      <c r="O326" s="1141"/>
      <c r="P326" s="1141"/>
      <c r="Q326" s="1141"/>
      <c r="R326" s="1141"/>
      <c r="S326" s="1141"/>
      <c r="T326" s="1141"/>
      <c r="U326" s="1141"/>
      <c r="V326" s="1141"/>
      <c r="W326" s="1141"/>
      <c r="X326" s="1141"/>
      <c r="Y326" s="1141"/>
      <c r="Z326" s="1141"/>
      <c r="AA326" s="1141"/>
      <c r="AB326" s="1141"/>
      <c r="AC326" s="1141"/>
      <c r="AD326" s="1141"/>
      <c r="AE326" s="1141"/>
      <c r="AF326" s="1141"/>
      <c r="AG326" s="1141"/>
      <c r="AH326" s="1141"/>
      <c r="AI326" s="1141"/>
      <c r="AJ326" s="1142"/>
      <c r="AK326" s="1142"/>
      <c r="AL326" s="1144"/>
    </row>
    <row r="327" spans="1:38" ht="15" outlineLevel="1" collapsed="1" thickBot="1" x14ac:dyDescent="0.35">
      <c r="A327" s="1130"/>
      <c r="B327" s="1145" t="s">
        <v>550</v>
      </c>
      <c r="C327" s="1146"/>
      <c r="D327" s="1147"/>
      <c r="E327" s="1148">
        <f t="shared" ref="E327:AL327" si="19">SUBTOTAL(9,E275:E326)</f>
        <v>0</v>
      </c>
      <c r="F327" s="1149">
        <f t="shared" si="19"/>
        <v>0</v>
      </c>
      <c r="G327" s="1149">
        <f t="shared" si="19"/>
        <v>0</v>
      </c>
      <c r="H327" s="1149">
        <f t="shared" si="19"/>
        <v>0</v>
      </c>
      <c r="I327" s="1149">
        <f t="shared" si="19"/>
        <v>0</v>
      </c>
      <c r="J327" s="1149">
        <f t="shared" si="19"/>
        <v>0</v>
      </c>
      <c r="K327" s="1149">
        <f t="shared" si="19"/>
        <v>0</v>
      </c>
      <c r="L327" s="1149">
        <f t="shared" si="19"/>
        <v>0</v>
      </c>
      <c r="M327" s="1149">
        <f t="shared" si="19"/>
        <v>0</v>
      </c>
      <c r="N327" s="1149">
        <f t="shared" si="19"/>
        <v>0</v>
      </c>
      <c r="O327" s="1149">
        <f t="shared" si="19"/>
        <v>0</v>
      </c>
      <c r="P327" s="1149">
        <f t="shared" si="19"/>
        <v>0</v>
      </c>
      <c r="Q327" s="1149">
        <f t="shared" si="19"/>
        <v>0</v>
      </c>
      <c r="R327" s="1149">
        <f t="shared" si="19"/>
        <v>0</v>
      </c>
      <c r="S327" s="1149">
        <f t="shared" si="19"/>
        <v>0</v>
      </c>
      <c r="T327" s="1149">
        <f t="shared" si="19"/>
        <v>0</v>
      </c>
      <c r="U327" s="1149">
        <f t="shared" si="19"/>
        <v>0</v>
      </c>
      <c r="V327" s="1149">
        <f t="shared" si="19"/>
        <v>0</v>
      </c>
      <c r="W327" s="1149">
        <f t="shared" si="19"/>
        <v>0</v>
      </c>
      <c r="X327" s="1149">
        <f t="shared" si="19"/>
        <v>0</v>
      </c>
      <c r="Y327" s="1149">
        <f t="shared" si="19"/>
        <v>0</v>
      </c>
      <c r="Z327" s="1149">
        <f t="shared" si="19"/>
        <v>0</v>
      </c>
      <c r="AA327" s="1149">
        <f t="shared" si="19"/>
        <v>0</v>
      </c>
      <c r="AB327" s="1149">
        <f t="shared" si="19"/>
        <v>0</v>
      </c>
      <c r="AC327" s="1149">
        <f t="shared" si="19"/>
        <v>0</v>
      </c>
      <c r="AD327" s="1149">
        <f t="shared" si="19"/>
        <v>0</v>
      </c>
      <c r="AE327" s="1149">
        <f t="shared" si="19"/>
        <v>0</v>
      </c>
      <c r="AF327" s="1149">
        <f t="shared" si="19"/>
        <v>0</v>
      </c>
      <c r="AG327" s="1149">
        <f t="shared" si="19"/>
        <v>0</v>
      </c>
      <c r="AH327" s="1149">
        <f t="shared" si="19"/>
        <v>0</v>
      </c>
      <c r="AI327" s="1149">
        <f t="shared" si="19"/>
        <v>0</v>
      </c>
      <c r="AJ327" s="1149">
        <f t="shared" si="19"/>
        <v>0</v>
      </c>
      <c r="AK327" s="1149">
        <f t="shared" si="19"/>
        <v>0</v>
      </c>
      <c r="AL327" s="1149">
        <f t="shared" si="19"/>
        <v>0</v>
      </c>
    </row>
    <row r="328" spans="1:38" ht="36" outlineLevel="1" x14ac:dyDescent="0.35">
      <c r="A328" s="1150" t="s">
        <v>1460</v>
      </c>
      <c r="B328" s="1151"/>
      <c r="C328" s="1152"/>
      <c r="D328" s="1153"/>
      <c r="E328" s="1154"/>
      <c r="F328" s="1155"/>
      <c r="G328" s="1155"/>
      <c r="H328" s="1155"/>
      <c r="I328" s="1155"/>
      <c r="J328" s="1155"/>
      <c r="K328" s="1155"/>
      <c r="L328" s="1155"/>
      <c r="M328" s="1155"/>
      <c r="N328" s="1155"/>
      <c r="O328" s="1155"/>
      <c r="P328" s="1155"/>
      <c r="Q328" s="1155"/>
      <c r="R328" s="1155"/>
      <c r="S328" s="1155"/>
      <c r="T328" s="1155"/>
      <c r="U328" s="1155"/>
      <c r="V328" s="1155"/>
      <c r="W328" s="1155"/>
      <c r="X328" s="1155"/>
      <c r="Y328" s="1155"/>
      <c r="Z328" s="1155"/>
      <c r="AA328" s="1155"/>
      <c r="AB328" s="1155"/>
      <c r="AC328" s="1155"/>
      <c r="AD328" s="1155"/>
      <c r="AE328" s="1155"/>
      <c r="AF328" s="1155"/>
      <c r="AG328" s="1155"/>
      <c r="AH328" s="1155"/>
      <c r="AI328" s="1155"/>
      <c r="AJ328" s="1156"/>
      <c r="AK328" s="1156"/>
      <c r="AL328" s="1157"/>
    </row>
    <row r="329" spans="1:38" hidden="1" outlineLevel="2" x14ac:dyDescent="0.3">
      <c r="A329" s="1158"/>
      <c r="B329" s="1159"/>
      <c r="C329" s="1160"/>
      <c r="D329" s="1161"/>
      <c r="E329" s="1162"/>
      <c r="F329" s="1163"/>
      <c r="G329" s="1163"/>
      <c r="H329" s="1163"/>
      <c r="I329" s="1163"/>
      <c r="J329" s="1163"/>
      <c r="K329" s="1163"/>
      <c r="L329" s="1163"/>
      <c r="M329" s="1163"/>
      <c r="N329" s="1163"/>
      <c r="O329" s="1163"/>
      <c r="P329" s="1163"/>
      <c r="Q329" s="1163"/>
      <c r="R329" s="1163"/>
      <c r="S329" s="1163"/>
      <c r="T329" s="1163"/>
      <c r="U329" s="1163"/>
      <c r="V329" s="1163"/>
      <c r="W329" s="1163"/>
      <c r="X329" s="1163"/>
      <c r="Y329" s="1163"/>
      <c r="Z329" s="1163"/>
      <c r="AA329" s="1163"/>
      <c r="AB329" s="1163"/>
      <c r="AC329" s="1163"/>
      <c r="AD329" s="1163"/>
      <c r="AE329" s="1163"/>
      <c r="AF329" s="1163"/>
      <c r="AG329" s="1163"/>
      <c r="AH329" s="1163"/>
      <c r="AI329" s="1163"/>
      <c r="AJ329" s="1164"/>
      <c r="AK329" s="1164"/>
      <c r="AL329" s="1165"/>
    </row>
    <row r="330" spans="1:38" hidden="1" outlineLevel="2" x14ac:dyDescent="0.3">
      <c r="A330" s="1158"/>
      <c r="B330" s="1159"/>
      <c r="C330" s="1160"/>
      <c r="D330" s="1161"/>
      <c r="E330" s="1162"/>
      <c r="F330" s="1163"/>
      <c r="G330" s="1163"/>
      <c r="H330" s="1163"/>
      <c r="I330" s="1163"/>
      <c r="J330" s="1163"/>
      <c r="K330" s="1163"/>
      <c r="L330" s="1163"/>
      <c r="M330" s="1163"/>
      <c r="N330" s="1163"/>
      <c r="O330" s="1163"/>
      <c r="P330" s="1163"/>
      <c r="Q330" s="1163"/>
      <c r="R330" s="1163"/>
      <c r="S330" s="1163"/>
      <c r="T330" s="1163"/>
      <c r="U330" s="1163"/>
      <c r="V330" s="1163"/>
      <c r="W330" s="1163"/>
      <c r="X330" s="1163"/>
      <c r="Y330" s="1163"/>
      <c r="Z330" s="1163"/>
      <c r="AA330" s="1163"/>
      <c r="AB330" s="1163"/>
      <c r="AC330" s="1163"/>
      <c r="AD330" s="1163"/>
      <c r="AE330" s="1163"/>
      <c r="AF330" s="1163"/>
      <c r="AG330" s="1163"/>
      <c r="AH330" s="1163"/>
      <c r="AI330" s="1163"/>
      <c r="AJ330" s="1164"/>
      <c r="AK330" s="1164"/>
      <c r="AL330" s="1165"/>
    </row>
    <row r="331" spans="1:38" hidden="1" outlineLevel="2" x14ac:dyDescent="0.3">
      <c r="A331" s="1158"/>
      <c r="B331" s="1159"/>
      <c r="C331" s="1160"/>
      <c r="D331" s="1161"/>
      <c r="E331" s="1162"/>
      <c r="F331" s="1163"/>
      <c r="G331" s="1163"/>
      <c r="H331" s="1163"/>
      <c r="I331" s="1163"/>
      <c r="J331" s="1163"/>
      <c r="K331" s="1163"/>
      <c r="L331" s="1163"/>
      <c r="M331" s="1163"/>
      <c r="N331" s="1163"/>
      <c r="O331" s="1163"/>
      <c r="P331" s="1163"/>
      <c r="Q331" s="1163"/>
      <c r="R331" s="1163"/>
      <c r="S331" s="1163"/>
      <c r="T331" s="1163"/>
      <c r="U331" s="1163"/>
      <c r="V331" s="1163"/>
      <c r="W331" s="1163"/>
      <c r="X331" s="1163"/>
      <c r="Y331" s="1163"/>
      <c r="Z331" s="1163"/>
      <c r="AA331" s="1163"/>
      <c r="AB331" s="1163"/>
      <c r="AC331" s="1163"/>
      <c r="AD331" s="1163"/>
      <c r="AE331" s="1163"/>
      <c r="AF331" s="1163"/>
      <c r="AG331" s="1163"/>
      <c r="AH331" s="1163"/>
      <c r="AI331" s="1163"/>
      <c r="AJ331" s="1164"/>
      <c r="AK331" s="1164"/>
      <c r="AL331" s="1165"/>
    </row>
    <row r="332" spans="1:38" hidden="1" outlineLevel="2" x14ac:dyDescent="0.3">
      <c r="A332" s="1158"/>
      <c r="B332" s="1166"/>
      <c r="C332" s="1167"/>
      <c r="D332" s="1168"/>
      <c r="E332" s="1169"/>
      <c r="F332" s="1170"/>
      <c r="G332" s="1170"/>
      <c r="H332" s="1170"/>
      <c r="I332" s="1170"/>
      <c r="J332" s="1170"/>
      <c r="K332" s="1170"/>
      <c r="L332" s="1170"/>
      <c r="M332" s="1170"/>
      <c r="N332" s="1170"/>
      <c r="O332" s="1170"/>
      <c r="P332" s="1170"/>
      <c r="Q332" s="1170"/>
      <c r="R332" s="1170"/>
      <c r="S332" s="1170"/>
      <c r="T332" s="1170"/>
      <c r="U332" s="1170"/>
      <c r="V332" s="1170"/>
      <c r="W332" s="1170"/>
      <c r="X332" s="1170"/>
      <c r="Y332" s="1170"/>
      <c r="Z332" s="1170"/>
      <c r="AA332" s="1170"/>
      <c r="AB332" s="1170"/>
      <c r="AC332" s="1170"/>
      <c r="AD332" s="1170"/>
      <c r="AE332" s="1170"/>
      <c r="AF332" s="1170"/>
      <c r="AG332" s="1170"/>
      <c r="AH332" s="1170"/>
      <c r="AI332" s="1170"/>
      <c r="AJ332" s="1171"/>
      <c r="AK332" s="1171"/>
      <c r="AL332" s="1172"/>
    </row>
    <row r="333" spans="1:38" hidden="1" outlineLevel="2" x14ac:dyDescent="0.3">
      <c r="A333" s="1158"/>
      <c r="B333" s="1166"/>
      <c r="C333" s="1167"/>
      <c r="D333" s="1168"/>
      <c r="E333" s="1169"/>
      <c r="F333" s="1170"/>
      <c r="G333" s="1170"/>
      <c r="H333" s="1170"/>
      <c r="I333" s="1170"/>
      <c r="J333" s="1170"/>
      <c r="K333" s="1170"/>
      <c r="L333" s="1170"/>
      <c r="M333" s="1170"/>
      <c r="N333" s="1170"/>
      <c r="O333" s="1170"/>
      <c r="P333" s="1170"/>
      <c r="Q333" s="1170"/>
      <c r="R333" s="1170"/>
      <c r="S333" s="1170"/>
      <c r="T333" s="1170"/>
      <c r="U333" s="1170"/>
      <c r="V333" s="1170"/>
      <c r="W333" s="1170"/>
      <c r="X333" s="1170"/>
      <c r="Y333" s="1170"/>
      <c r="Z333" s="1170"/>
      <c r="AA333" s="1170"/>
      <c r="AB333" s="1170"/>
      <c r="AC333" s="1170"/>
      <c r="AD333" s="1170"/>
      <c r="AE333" s="1170"/>
      <c r="AF333" s="1170"/>
      <c r="AG333" s="1170"/>
      <c r="AH333" s="1170"/>
      <c r="AI333" s="1170"/>
      <c r="AJ333" s="1171"/>
      <c r="AK333" s="1171"/>
      <c r="AL333" s="1172"/>
    </row>
    <row r="334" spans="1:38" hidden="1" outlineLevel="2" x14ac:dyDescent="0.3">
      <c r="A334" s="1158"/>
      <c r="B334" s="1166"/>
      <c r="C334" s="1167"/>
      <c r="D334" s="1168"/>
      <c r="E334" s="1169"/>
      <c r="F334" s="1170"/>
      <c r="G334" s="1170"/>
      <c r="H334" s="1170"/>
      <c r="I334" s="1170"/>
      <c r="J334" s="1170"/>
      <c r="K334" s="1170"/>
      <c r="L334" s="1170"/>
      <c r="M334" s="1170"/>
      <c r="N334" s="1170"/>
      <c r="O334" s="1170"/>
      <c r="P334" s="1170"/>
      <c r="Q334" s="1170"/>
      <c r="R334" s="1170"/>
      <c r="S334" s="1170"/>
      <c r="T334" s="1170"/>
      <c r="U334" s="1170"/>
      <c r="V334" s="1170"/>
      <c r="W334" s="1170"/>
      <c r="X334" s="1170"/>
      <c r="Y334" s="1170"/>
      <c r="Z334" s="1170"/>
      <c r="AA334" s="1170"/>
      <c r="AB334" s="1170"/>
      <c r="AC334" s="1170"/>
      <c r="AD334" s="1170"/>
      <c r="AE334" s="1170"/>
      <c r="AF334" s="1170"/>
      <c r="AG334" s="1170"/>
      <c r="AH334" s="1170"/>
      <c r="AI334" s="1170"/>
      <c r="AJ334" s="1171"/>
      <c r="AK334" s="1171"/>
      <c r="AL334" s="1172"/>
    </row>
    <row r="335" spans="1:38" hidden="1" outlineLevel="2" x14ac:dyDescent="0.3">
      <c r="A335" s="1158"/>
      <c r="B335" s="1166"/>
      <c r="C335" s="1167"/>
      <c r="D335" s="1168"/>
      <c r="E335" s="1169"/>
      <c r="F335" s="1170"/>
      <c r="G335" s="1170"/>
      <c r="H335" s="1170"/>
      <c r="I335" s="1170"/>
      <c r="J335" s="1170"/>
      <c r="K335" s="1170"/>
      <c r="L335" s="1170"/>
      <c r="M335" s="1170"/>
      <c r="N335" s="1170"/>
      <c r="O335" s="1170"/>
      <c r="P335" s="1170"/>
      <c r="Q335" s="1170"/>
      <c r="R335" s="1170"/>
      <c r="S335" s="1170"/>
      <c r="T335" s="1170"/>
      <c r="U335" s="1170"/>
      <c r="V335" s="1170"/>
      <c r="W335" s="1170"/>
      <c r="X335" s="1170"/>
      <c r="Y335" s="1170"/>
      <c r="Z335" s="1170"/>
      <c r="AA335" s="1170"/>
      <c r="AB335" s="1170"/>
      <c r="AC335" s="1170"/>
      <c r="AD335" s="1170"/>
      <c r="AE335" s="1170"/>
      <c r="AF335" s="1170"/>
      <c r="AG335" s="1170"/>
      <c r="AH335" s="1170"/>
      <c r="AI335" s="1170"/>
      <c r="AJ335" s="1171"/>
      <c r="AK335" s="1171"/>
      <c r="AL335" s="1172"/>
    </row>
    <row r="336" spans="1:38" hidden="1" outlineLevel="2" x14ac:dyDescent="0.3">
      <c r="A336" s="1158"/>
      <c r="B336" s="1166"/>
      <c r="C336" s="1167"/>
      <c r="D336" s="1168"/>
      <c r="E336" s="1169"/>
      <c r="F336" s="1170"/>
      <c r="G336" s="1170"/>
      <c r="H336" s="1170"/>
      <c r="I336" s="1170"/>
      <c r="J336" s="1170"/>
      <c r="K336" s="1170"/>
      <c r="L336" s="1170"/>
      <c r="M336" s="1170"/>
      <c r="N336" s="1170"/>
      <c r="O336" s="1170"/>
      <c r="P336" s="1170"/>
      <c r="Q336" s="1170"/>
      <c r="R336" s="1170"/>
      <c r="S336" s="1170"/>
      <c r="T336" s="1170"/>
      <c r="U336" s="1170"/>
      <c r="V336" s="1170"/>
      <c r="W336" s="1170"/>
      <c r="X336" s="1170"/>
      <c r="Y336" s="1170"/>
      <c r="Z336" s="1170"/>
      <c r="AA336" s="1170"/>
      <c r="AB336" s="1170"/>
      <c r="AC336" s="1170"/>
      <c r="AD336" s="1170"/>
      <c r="AE336" s="1170"/>
      <c r="AF336" s="1170"/>
      <c r="AG336" s="1170"/>
      <c r="AH336" s="1170"/>
      <c r="AI336" s="1170"/>
      <c r="AJ336" s="1171"/>
      <c r="AK336" s="1171"/>
      <c r="AL336" s="1172"/>
    </row>
    <row r="337" spans="1:38" hidden="1" outlineLevel="2" x14ac:dyDescent="0.3">
      <c r="A337" s="1158"/>
      <c r="B337" s="1166"/>
      <c r="C337" s="1167"/>
      <c r="D337" s="1168"/>
      <c r="E337" s="1169"/>
      <c r="F337" s="1170"/>
      <c r="G337" s="1170"/>
      <c r="H337" s="1170"/>
      <c r="I337" s="1170"/>
      <c r="J337" s="1170"/>
      <c r="K337" s="1170"/>
      <c r="L337" s="1170"/>
      <c r="M337" s="1170"/>
      <c r="N337" s="1170"/>
      <c r="O337" s="1170"/>
      <c r="P337" s="1170"/>
      <c r="Q337" s="1170"/>
      <c r="R337" s="1170"/>
      <c r="S337" s="1170"/>
      <c r="T337" s="1170"/>
      <c r="U337" s="1170"/>
      <c r="V337" s="1170"/>
      <c r="W337" s="1170"/>
      <c r="X337" s="1170"/>
      <c r="Y337" s="1170"/>
      <c r="Z337" s="1170"/>
      <c r="AA337" s="1170"/>
      <c r="AB337" s="1170"/>
      <c r="AC337" s="1170"/>
      <c r="AD337" s="1170"/>
      <c r="AE337" s="1170"/>
      <c r="AF337" s="1170"/>
      <c r="AG337" s="1170"/>
      <c r="AH337" s="1170"/>
      <c r="AI337" s="1170"/>
      <c r="AJ337" s="1171"/>
      <c r="AK337" s="1171"/>
      <c r="AL337" s="1172"/>
    </row>
    <row r="338" spans="1:38" ht="15" outlineLevel="1" collapsed="1" thickBot="1" x14ac:dyDescent="0.35">
      <c r="A338" s="1158"/>
      <c r="B338" s="1173" t="s">
        <v>550</v>
      </c>
      <c r="C338" s="1174"/>
      <c r="D338" s="1175"/>
      <c r="E338" s="1176">
        <f>SUBTOTAL(9,E329:E331)</f>
        <v>0</v>
      </c>
      <c r="F338" s="1177"/>
      <c r="G338" s="1177">
        <f>SUBTOTAL(9,G329:G331)</f>
        <v>0</v>
      </c>
      <c r="H338" s="1177"/>
      <c r="I338" s="1177">
        <f>SUBTOTAL(9,I329:I331)</f>
        <v>0</v>
      </c>
      <c r="J338" s="1177"/>
      <c r="K338" s="1177">
        <f>SUBTOTAL(9,K329:K331)</f>
        <v>0</v>
      </c>
      <c r="L338" s="1177"/>
      <c r="M338" s="1177">
        <f>SUBTOTAL(9,M329:M331)</f>
        <v>0</v>
      </c>
      <c r="N338" s="1177"/>
      <c r="O338" s="1177">
        <f>SUBTOTAL(9,O329:O331)</f>
        <v>0</v>
      </c>
      <c r="P338" s="1177"/>
      <c r="Q338" s="1177">
        <f>SUBTOTAL(9,Q329:Q331)</f>
        <v>0</v>
      </c>
      <c r="R338" s="1177"/>
      <c r="S338" s="1177">
        <f>SUBTOTAL(9,S329:S331)</f>
        <v>0</v>
      </c>
      <c r="T338" s="1177"/>
      <c r="U338" s="1177">
        <f>SUBTOTAL(9,U329:U331)</f>
        <v>0</v>
      </c>
      <c r="V338" s="1177"/>
      <c r="W338" s="1177">
        <f>SUBTOTAL(9,W329:W331)</f>
        <v>0</v>
      </c>
      <c r="X338" s="1177"/>
      <c r="Y338" s="1177">
        <f>SUBTOTAL(9,Y329:Y331)</f>
        <v>0</v>
      </c>
      <c r="Z338" s="1177"/>
      <c r="AA338" s="1177">
        <f>SUBTOTAL(9,AA329:AA331)</f>
        <v>0</v>
      </c>
      <c r="AB338" s="1177"/>
      <c r="AC338" s="1177">
        <f>SUBTOTAL(9,AC329:AC331)</f>
        <v>0</v>
      </c>
      <c r="AD338" s="1177"/>
      <c r="AE338" s="1177">
        <f>SUBTOTAL(9,AE329:AE331)</f>
        <v>0</v>
      </c>
      <c r="AF338" s="1177"/>
      <c r="AG338" s="1177">
        <f>SUBTOTAL(9,AG329:AG331)</f>
        <v>0</v>
      </c>
      <c r="AH338" s="1177"/>
      <c r="AI338" s="1177">
        <f>SUBTOTAL(9,AI329:AI331)</f>
        <v>0</v>
      </c>
      <c r="AJ338" s="1178"/>
      <c r="AK338" s="1178"/>
      <c r="AL338" s="1179"/>
    </row>
    <row r="339" spans="1:38" ht="18" outlineLevel="1" x14ac:dyDescent="0.35">
      <c r="A339" s="1180" t="s">
        <v>1464</v>
      </c>
      <c r="B339" s="1181"/>
      <c r="C339" s="1182"/>
      <c r="D339" s="1183"/>
      <c r="E339" s="1184"/>
      <c r="F339" s="1185"/>
      <c r="G339" s="1185"/>
      <c r="H339" s="1185"/>
      <c r="I339" s="1185"/>
      <c r="J339" s="1185"/>
      <c r="K339" s="1185"/>
      <c r="L339" s="1185"/>
      <c r="M339" s="1185"/>
      <c r="N339" s="1185"/>
      <c r="O339" s="1185"/>
      <c r="P339" s="1185"/>
      <c r="Q339" s="1185"/>
      <c r="R339" s="1185"/>
      <c r="S339" s="1185"/>
      <c r="T339" s="1185"/>
      <c r="U339" s="1185"/>
      <c r="V339" s="1185"/>
      <c r="W339" s="1185"/>
      <c r="X339" s="1185"/>
      <c r="Y339" s="1185"/>
      <c r="Z339" s="1185"/>
      <c r="AA339" s="1185"/>
      <c r="AB339" s="1185"/>
      <c r="AC339" s="1185"/>
      <c r="AD339" s="1185"/>
      <c r="AE339" s="1185"/>
      <c r="AF339" s="1185"/>
      <c r="AG339" s="1185"/>
      <c r="AH339" s="1185"/>
      <c r="AI339" s="1185"/>
      <c r="AJ339" s="1186"/>
      <c r="AK339" s="1186"/>
      <c r="AL339" s="1187"/>
    </row>
    <row r="340" spans="1:38" hidden="1" outlineLevel="2" x14ac:dyDescent="0.3">
      <c r="A340" s="1188"/>
      <c r="B340" s="1189"/>
      <c r="C340" s="1190"/>
      <c r="D340" s="1191"/>
      <c r="E340" s="1192"/>
      <c r="F340" s="1193"/>
      <c r="G340" s="1193"/>
      <c r="H340" s="1193"/>
      <c r="I340" s="1193"/>
      <c r="J340" s="1193"/>
      <c r="K340" s="1193"/>
      <c r="L340" s="1193"/>
      <c r="M340" s="1193"/>
      <c r="N340" s="1193"/>
      <c r="O340" s="1193"/>
      <c r="P340" s="1193"/>
      <c r="Q340" s="1193"/>
      <c r="R340" s="1193"/>
      <c r="S340" s="1193"/>
      <c r="T340" s="1193"/>
      <c r="U340" s="1193"/>
      <c r="V340" s="1193"/>
      <c r="W340" s="1193"/>
      <c r="X340" s="1193"/>
      <c r="Y340" s="1193"/>
      <c r="Z340" s="1193"/>
      <c r="AA340" s="1193"/>
      <c r="AB340" s="1193"/>
      <c r="AC340" s="1193"/>
      <c r="AD340" s="1193"/>
      <c r="AE340" s="1193"/>
      <c r="AF340" s="1193"/>
      <c r="AG340" s="1193"/>
      <c r="AH340" s="1193"/>
      <c r="AI340" s="1193"/>
      <c r="AJ340" s="1194"/>
      <c r="AK340" s="1194"/>
      <c r="AL340" s="1195"/>
    </row>
    <row r="341" spans="1:38" hidden="1" outlineLevel="2" x14ac:dyDescent="0.3">
      <c r="A341" s="1188"/>
      <c r="B341" s="1189"/>
      <c r="C341" s="1190"/>
      <c r="D341" s="1191"/>
      <c r="E341" s="1192"/>
      <c r="F341" s="1193"/>
      <c r="G341" s="1193"/>
      <c r="H341" s="1193"/>
      <c r="I341" s="1193"/>
      <c r="J341" s="1193"/>
      <c r="K341" s="1193"/>
      <c r="L341" s="1193"/>
      <c r="M341" s="1193"/>
      <c r="N341" s="1193"/>
      <c r="O341" s="1193"/>
      <c r="P341" s="1193"/>
      <c r="Q341" s="1193"/>
      <c r="R341" s="1193"/>
      <c r="S341" s="1193"/>
      <c r="T341" s="1193"/>
      <c r="U341" s="1193"/>
      <c r="V341" s="1193"/>
      <c r="W341" s="1193"/>
      <c r="X341" s="1193"/>
      <c r="Y341" s="1193"/>
      <c r="Z341" s="1193"/>
      <c r="AA341" s="1193"/>
      <c r="AB341" s="1193"/>
      <c r="AC341" s="1193"/>
      <c r="AD341" s="1193"/>
      <c r="AE341" s="1193"/>
      <c r="AF341" s="1193"/>
      <c r="AG341" s="1193"/>
      <c r="AH341" s="1193"/>
      <c r="AI341" s="1193"/>
      <c r="AJ341" s="1194"/>
      <c r="AK341" s="1194"/>
      <c r="AL341" s="1195"/>
    </row>
    <row r="342" spans="1:38" hidden="1" outlineLevel="2" x14ac:dyDescent="0.3">
      <c r="A342" s="1188"/>
      <c r="B342" s="1196"/>
      <c r="C342" s="1197"/>
      <c r="D342" s="1198"/>
      <c r="E342" s="1199"/>
      <c r="F342" s="1200"/>
      <c r="G342" s="1200"/>
      <c r="H342" s="1200"/>
      <c r="I342" s="1200"/>
      <c r="J342" s="1200"/>
      <c r="K342" s="1200"/>
      <c r="L342" s="1200"/>
      <c r="M342" s="1200"/>
      <c r="N342" s="1200"/>
      <c r="O342" s="1200"/>
      <c r="P342" s="1200"/>
      <c r="Q342" s="1200"/>
      <c r="R342" s="1200"/>
      <c r="S342" s="1200"/>
      <c r="T342" s="1200"/>
      <c r="U342" s="1200"/>
      <c r="V342" s="1200"/>
      <c r="W342" s="1200"/>
      <c r="X342" s="1200"/>
      <c r="Y342" s="1200"/>
      <c r="Z342" s="1200"/>
      <c r="AA342" s="1200"/>
      <c r="AB342" s="1200"/>
      <c r="AC342" s="1200"/>
      <c r="AD342" s="1200"/>
      <c r="AE342" s="1200"/>
      <c r="AF342" s="1200"/>
      <c r="AG342" s="1200"/>
      <c r="AH342" s="1200"/>
      <c r="AI342" s="1200"/>
      <c r="AJ342" s="1201"/>
      <c r="AK342" s="1201"/>
      <c r="AL342" s="1202"/>
    </row>
    <row r="343" spans="1:38" hidden="1" outlineLevel="2" x14ac:dyDescent="0.3">
      <c r="A343" s="1188"/>
      <c r="B343" s="1196"/>
      <c r="C343" s="1197"/>
      <c r="D343" s="1198"/>
      <c r="E343" s="1199"/>
      <c r="F343" s="1200"/>
      <c r="G343" s="1200"/>
      <c r="H343" s="1200"/>
      <c r="I343" s="1200"/>
      <c r="J343" s="1200"/>
      <c r="K343" s="1200"/>
      <c r="L343" s="1200"/>
      <c r="M343" s="1200"/>
      <c r="N343" s="1200"/>
      <c r="O343" s="1200"/>
      <c r="P343" s="1200"/>
      <c r="Q343" s="1200"/>
      <c r="R343" s="1200"/>
      <c r="S343" s="1200"/>
      <c r="T343" s="1200"/>
      <c r="U343" s="1200"/>
      <c r="V343" s="1200"/>
      <c r="W343" s="1200"/>
      <c r="X343" s="1200"/>
      <c r="Y343" s="1200"/>
      <c r="Z343" s="1200"/>
      <c r="AA343" s="1200"/>
      <c r="AB343" s="1200"/>
      <c r="AC343" s="1200"/>
      <c r="AD343" s="1200"/>
      <c r="AE343" s="1200"/>
      <c r="AF343" s="1200"/>
      <c r="AG343" s="1200"/>
      <c r="AH343" s="1200"/>
      <c r="AI343" s="1200"/>
      <c r="AJ343" s="1201"/>
      <c r="AK343" s="1201"/>
      <c r="AL343" s="1202"/>
    </row>
    <row r="344" spans="1:38" hidden="1" outlineLevel="2" x14ac:dyDescent="0.3">
      <c r="A344" s="1188"/>
      <c r="B344" s="1196"/>
      <c r="C344" s="1197"/>
      <c r="D344" s="1198"/>
      <c r="E344" s="1199"/>
      <c r="F344" s="1200"/>
      <c r="G344" s="1200"/>
      <c r="H344" s="1200"/>
      <c r="I344" s="1200"/>
      <c r="J344" s="1200"/>
      <c r="K344" s="1200"/>
      <c r="L344" s="1200"/>
      <c r="M344" s="1200"/>
      <c r="N344" s="1200"/>
      <c r="O344" s="1200"/>
      <c r="P344" s="1200"/>
      <c r="Q344" s="1200"/>
      <c r="R344" s="1200"/>
      <c r="S344" s="1200"/>
      <c r="T344" s="1200"/>
      <c r="U344" s="1200"/>
      <c r="V344" s="1200"/>
      <c r="W344" s="1200"/>
      <c r="X344" s="1200"/>
      <c r="Y344" s="1200"/>
      <c r="Z344" s="1200"/>
      <c r="AA344" s="1200"/>
      <c r="AB344" s="1200"/>
      <c r="AC344" s="1200"/>
      <c r="AD344" s="1200"/>
      <c r="AE344" s="1200"/>
      <c r="AF344" s="1200"/>
      <c r="AG344" s="1200"/>
      <c r="AH344" s="1200"/>
      <c r="AI344" s="1200"/>
      <c r="AJ344" s="1201"/>
      <c r="AK344" s="1201"/>
      <c r="AL344" s="1202"/>
    </row>
    <row r="345" spans="1:38" hidden="1" outlineLevel="2" x14ac:dyDescent="0.3">
      <c r="A345" s="1188"/>
      <c r="B345" s="1196"/>
      <c r="C345" s="1197"/>
      <c r="D345" s="1198"/>
      <c r="E345" s="1199"/>
      <c r="F345" s="1200"/>
      <c r="G345" s="1200"/>
      <c r="H345" s="1200"/>
      <c r="I345" s="1200"/>
      <c r="J345" s="1200"/>
      <c r="K345" s="1200"/>
      <c r="L345" s="1200"/>
      <c r="M345" s="1200"/>
      <c r="N345" s="1200"/>
      <c r="O345" s="1200"/>
      <c r="P345" s="1200"/>
      <c r="Q345" s="1200"/>
      <c r="R345" s="1200"/>
      <c r="S345" s="1200"/>
      <c r="T345" s="1200"/>
      <c r="U345" s="1200"/>
      <c r="V345" s="1200"/>
      <c r="W345" s="1200"/>
      <c r="X345" s="1200"/>
      <c r="Y345" s="1200"/>
      <c r="Z345" s="1200"/>
      <c r="AA345" s="1200"/>
      <c r="AB345" s="1200"/>
      <c r="AC345" s="1200"/>
      <c r="AD345" s="1200"/>
      <c r="AE345" s="1200"/>
      <c r="AF345" s="1200"/>
      <c r="AG345" s="1200"/>
      <c r="AH345" s="1200"/>
      <c r="AI345" s="1200"/>
      <c r="AJ345" s="1201"/>
      <c r="AK345" s="1201"/>
      <c r="AL345" s="1202"/>
    </row>
    <row r="346" spans="1:38" hidden="1" outlineLevel="2" x14ac:dyDescent="0.3">
      <c r="A346" s="1188"/>
      <c r="B346" s="1196"/>
      <c r="C346" s="1197"/>
      <c r="D346" s="1198"/>
      <c r="E346" s="1199"/>
      <c r="F346" s="1200"/>
      <c r="G346" s="1200"/>
      <c r="H346" s="1200"/>
      <c r="I346" s="1200"/>
      <c r="J346" s="1200"/>
      <c r="K346" s="1200"/>
      <c r="L346" s="1200"/>
      <c r="M346" s="1200"/>
      <c r="N346" s="1200"/>
      <c r="O346" s="1200"/>
      <c r="P346" s="1200"/>
      <c r="Q346" s="1200"/>
      <c r="R346" s="1200"/>
      <c r="S346" s="1200"/>
      <c r="T346" s="1200"/>
      <c r="U346" s="1200"/>
      <c r="V346" s="1200"/>
      <c r="W346" s="1200"/>
      <c r="X346" s="1200"/>
      <c r="Y346" s="1200"/>
      <c r="Z346" s="1200"/>
      <c r="AA346" s="1200"/>
      <c r="AB346" s="1200"/>
      <c r="AC346" s="1200"/>
      <c r="AD346" s="1200"/>
      <c r="AE346" s="1200"/>
      <c r="AF346" s="1200"/>
      <c r="AG346" s="1200"/>
      <c r="AH346" s="1200"/>
      <c r="AI346" s="1200"/>
      <c r="AJ346" s="1201"/>
      <c r="AK346" s="1201"/>
      <c r="AL346" s="1202"/>
    </row>
    <row r="347" spans="1:38" ht="15" outlineLevel="1" collapsed="1" thickBot="1" x14ac:dyDescent="0.35">
      <c r="A347" s="1188"/>
      <c r="B347" s="1203" t="s">
        <v>550</v>
      </c>
      <c r="C347" s="1204"/>
      <c r="D347" s="1205"/>
      <c r="E347" s="1206">
        <f>SUBTOTAL(9,E339:E341)</f>
        <v>0</v>
      </c>
      <c r="F347" s="1207"/>
      <c r="G347" s="1207">
        <f>SUBTOTAL(9,G339:G341)</f>
        <v>0</v>
      </c>
      <c r="H347" s="1207"/>
      <c r="I347" s="1207">
        <f>SUBTOTAL(9,I339:I341)</f>
        <v>0</v>
      </c>
      <c r="J347" s="1207"/>
      <c r="K347" s="1207">
        <f>SUBTOTAL(9,K339:K341)</f>
        <v>0</v>
      </c>
      <c r="L347" s="1207"/>
      <c r="M347" s="1207">
        <f>SUBTOTAL(9,M339:M341)</f>
        <v>0</v>
      </c>
      <c r="N347" s="1207"/>
      <c r="O347" s="1207">
        <f>SUBTOTAL(9,O339:O341)</f>
        <v>0</v>
      </c>
      <c r="P347" s="1207"/>
      <c r="Q347" s="1207">
        <f>SUBTOTAL(9,Q339:Q341)</f>
        <v>0</v>
      </c>
      <c r="R347" s="1207"/>
      <c r="S347" s="1207">
        <f>SUBTOTAL(9,S339:S341)</f>
        <v>0</v>
      </c>
      <c r="T347" s="1207"/>
      <c r="U347" s="1207">
        <f>SUBTOTAL(9,U339:U341)</f>
        <v>0</v>
      </c>
      <c r="V347" s="1207"/>
      <c r="W347" s="1207">
        <f>SUBTOTAL(9,W339:W341)</f>
        <v>0</v>
      </c>
      <c r="X347" s="1207"/>
      <c r="Y347" s="1207">
        <f>SUBTOTAL(9,Y339:Y341)</f>
        <v>0</v>
      </c>
      <c r="Z347" s="1207"/>
      <c r="AA347" s="1207">
        <f>SUBTOTAL(9,AA339:AA341)</f>
        <v>0</v>
      </c>
      <c r="AB347" s="1207"/>
      <c r="AC347" s="1207">
        <f>SUBTOTAL(9,AC339:AC341)</f>
        <v>0</v>
      </c>
      <c r="AD347" s="1207"/>
      <c r="AE347" s="1207">
        <f>SUBTOTAL(9,AE339:AE341)</f>
        <v>0</v>
      </c>
      <c r="AF347" s="1207"/>
      <c r="AG347" s="1207">
        <f>SUBTOTAL(9,AG339:AG341)</f>
        <v>0</v>
      </c>
      <c r="AH347" s="1207"/>
      <c r="AI347" s="1207">
        <f>SUBTOTAL(9,AI339:AI341)</f>
        <v>0</v>
      </c>
      <c r="AJ347" s="1208"/>
      <c r="AK347" s="1208"/>
      <c r="AL347" s="1209"/>
    </row>
    <row r="348" spans="1:38" x14ac:dyDescent="0.3">
      <c r="A348" s="98"/>
      <c r="B348" s="660"/>
      <c r="C348" s="660"/>
      <c r="D348" s="660"/>
      <c r="E348" s="941">
        <f>SUM(E347,E338,E327)</f>
        <v>0</v>
      </c>
      <c r="F348" s="941"/>
      <c r="G348" s="941">
        <f>SUM(G347,G338,G327)</f>
        <v>0</v>
      </c>
      <c r="H348" s="941"/>
      <c r="I348" s="941">
        <f>SUM(I347,I338,I327)</f>
        <v>0</v>
      </c>
      <c r="J348" s="941"/>
      <c r="K348" s="941">
        <v>9600</v>
      </c>
      <c r="L348" s="941"/>
      <c r="M348" s="941">
        <f>SUM(M347,M338,M327)</f>
        <v>0</v>
      </c>
      <c r="N348" s="941"/>
      <c r="O348" s="941">
        <f>SUM(O347,O338,O327)</f>
        <v>0</v>
      </c>
      <c r="P348" s="941"/>
      <c r="Q348" s="941">
        <f>SUM(Q347,Q338,Q327)</f>
        <v>0</v>
      </c>
      <c r="R348" s="941"/>
      <c r="S348" s="941">
        <f>SUM(S347,S338,S327)</f>
        <v>0</v>
      </c>
      <c r="T348" s="941"/>
      <c r="U348" s="941">
        <f>SUM(U347,U338,U327)</f>
        <v>0</v>
      </c>
      <c r="V348" s="941"/>
      <c r="W348" s="941">
        <f>SUM(W347,W338,W327)</f>
        <v>0</v>
      </c>
      <c r="X348" s="941"/>
      <c r="Y348" s="941">
        <f>SUM(Y347,Y338,Y327)</f>
        <v>0</v>
      </c>
      <c r="Z348" s="941"/>
      <c r="AA348" s="941">
        <f>SUM(AA347,AA338,AA327)</f>
        <v>0</v>
      </c>
      <c r="AB348" s="941"/>
      <c r="AC348" s="941">
        <f>SUM(AC347,AC338,AC327)</f>
        <v>0</v>
      </c>
      <c r="AD348" s="941"/>
      <c r="AE348" s="941">
        <f>SUM(AE347,AE338,AE327)</f>
        <v>0</v>
      </c>
      <c r="AF348" s="941"/>
      <c r="AG348" s="941">
        <f>SUM(AG347,AG338,AG327)</f>
        <v>0</v>
      </c>
      <c r="AH348" s="941"/>
      <c r="AI348" s="941">
        <f>SUM(AI347,AI338,AI327)</f>
        <v>0</v>
      </c>
      <c r="AJ348" s="941"/>
      <c r="AK348" s="941"/>
      <c r="AL348" s="941">
        <f>SUM(K348:AI348)-SUM(E348:I348)</f>
        <v>9600</v>
      </c>
    </row>
  </sheetData>
  <mergeCells count="1">
    <mergeCell ref="A32:D32"/>
  </mergeCells>
  <hyperlinks>
    <hyperlink ref="B11" location="Wiwi_AE_var" display="AE variabel" xr:uid="{00000000-0004-0000-0900-000000000000}"/>
    <hyperlink ref="B12" location="Wiwi_RK_Int." display="Fahrtkosten und Verpflegungspauschalen" xr:uid="{00000000-0004-0000-0900-000001000000}"/>
    <hyperlink ref="B13" location="Wiwi_R_U_Int." display="Raum- und Unterkunftskosten" xr:uid="{00000000-0004-0000-0900-000002000000}"/>
    <hyperlink ref="B14" location="Wiwi_Bew.Int." display="Bewirtung und Repräsentation intern" xr:uid="{00000000-0004-0000-0900-000003000000}"/>
    <hyperlink ref="B15" location="Wiwi_Hon_I" display="Honorare Fachseminare" xr:uid="{00000000-0004-0000-0900-000004000000}"/>
    <hyperlink ref="B16" location="Wiwi_Hon_II" display="Andere Honorare" xr:uid="{00000000-0004-0000-0900-000005000000}"/>
    <hyperlink ref="B17" location="Wiwi_R_U_Ext." display="Ext. Reisekosten" xr:uid="{00000000-0004-0000-0900-000006000000}"/>
    <hyperlink ref="B18" location="Wiwi_Bew.Ext." display="Bewirtung und Repräsentation extern" xr:uid="{00000000-0004-0000-0900-000007000000}"/>
    <hyperlink ref="B19" location="Wiwi_R_U_Ext." display="Raum- und Unterkunftskosten Seminare und Veranst." xr:uid="{00000000-0004-0000-0900-000008000000}"/>
    <hyperlink ref="B20" location="Wiwi_Druck" display="Druckkosten" xr:uid="{00000000-0004-0000-0900-000009000000}"/>
    <hyperlink ref="B21" location="Wiwi_Sonst." display="Sonstige Kosten (Lizenzen, Allg. Geschäftsbetrieb)" xr:uid="{00000000-0004-0000-0900-00000A000000}"/>
    <hyperlink ref="B22" location="Rechtsk.FSen" display="Rechtsangelegenheiten" xr:uid="{00000000-0004-0000-0900-00000B000000}"/>
    <hyperlink ref="B7" location="Wiwi_Sonst_Einnahmen" display="Sonstige Einnahmen (Vorauszahlungen Bewirtung, Werbung, …)" xr:uid="{00000000-0004-0000-0900-00000C000000}"/>
    <hyperlink ref="B6" location="Wiwi_TN_Beiträge_II" display="Teilnahmebeiträge Veranstaltungen" xr:uid="{00000000-0004-0000-0900-00000D000000}"/>
    <hyperlink ref="B5" location="Wiwi_TN_Beiträge_I" display="Teilnahmebeiträge Seminare" xr:uid="{00000000-0004-0000-0900-00000E000000}"/>
  </hyperlinks>
  <pageMargins left="0.7" right="0.7" top="0.78740157499999996" bottom="0.78740157499999996"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348"/>
  <sheetViews>
    <sheetView zoomScaleNormal="100" workbookViewId="0">
      <selection activeCell="E18" sqref="E18"/>
    </sheetView>
  </sheetViews>
  <sheetFormatPr baseColWidth="10"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1565</v>
      </c>
      <c r="G1" s="1274"/>
      <c r="L1" s="1274"/>
      <c r="N1" s="1274"/>
    </row>
    <row r="2" spans="1:17" ht="23.25" customHeight="1" thickBot="1" x14ac:dyDescent="0.35">
      <c r="G2" s="1274" t="s">
        <v>1517</v>
      </c>
      <c r="L2" s="1274"/>
      <c r="N2" s="1274"/>
    </row>
    <row r="3" spans="1:17" ht="34.5" customHeight="1" thickBot="1" x14ac:dyDescent="0.35">
      <c r="A3" s="1080" t="s">
        <v>1</v>
      </c>
      <c r="B3" s="363" t="s">
        <v>4</v>
      </c>
      <c r="C3" s="1081" t="s">
        <v>717</v>
      </c>
      <c r="D3" s="385" t="s">
        <v>718</v>
      </c>
      <c r="E3" s="1247" t="s">
        <v>1510</v>
      </c>
      <c r="F3" s="1284" t="s">
        <v>1509</v>
      </c>
      <c r="G3" s="1289" t="s">
        <v>1397</v>
      </c>
      <c r="H3" s="1248" t="s">
        <v>1398</v>
      </c>
      <c r="I3" s="1250" t="s">
        <v>1399</v>
      </c>
      <c r="J3" s="1249" t="s">
        <v>1370</v>
      </c>
      <c r="K3" s="1269" t="s">
        <v>1400</v>
      </c>
      <c r="L3" s="1275" t="s">
        <v>719</v>
      </c>
      <c r="M3" s="1299" t="s">
        <v>720</v>
      </c>
      <c r="N3" s="1275" t="s">
        <v>721</v>
      </c>
      <c r="O3" s="233" t="s">
        <v>7</v>
      </c>
      <c r="P3" s="234" t="s">
        <v>722</v>
      </c>
      <c r="Q3" s="667" t="s">
        <v>723</v>
      </c>
    </row>
    <row r="4" spans="1:17" x14ac:dyDescent="0.3">
      <c r="A4" s="191" t="s">
        <v>724</v>
      </c>
      <c r="B4" s="173"/>
      <c r="C4" s="173"/>
      <c r="D4" s="173"/>
      <c r="E4" s="1043"/>
      <c r="F4" s="1285"/>
      <c r="G4" s="1290"/>
      <c r="H4" s="1082"/>
      <c r="I4" s="173"/>
      <c r="J4" s="1083"/>
      <c r="K4" s="52"/>
      <c r="L4" s="1276"/>
      <c r="M4" s="1300"/>
      <c r="N4" s="1306"/>
      <c r="O4" s="174"/>
      <c r="P4" s="50"/>
      <c r="Q4" s="80"/>
    </row>
    <row r="5" spans="1:17" x14ac:dyDescent="0.3">
      <c r="A5" s="175" t="s">
        <v>69</v>
      </c>
      <c r="B5" s="210" t="s">
        <v>650</v>
      </c>
      <c r="C5" s="146"/>
      <c r="D5" s="146"/>
      <c r="E5" s="1253">
        <v>25000</v>
      </c>
      <c r="F5" s="1286">
        <f>E$111</f>
        <v>0</v>
      </c>
      <c r="G5" s="1291"/>
      <c r="H5" s="1084">
        <f>E190</f>
        <v>0</v>
      </c>
      <c r="I5" s="743"/>
      <c r="J5" s="1085">
        <f>E269</f>
        <v>0</v>
      </c>
      <c r="K5" s="1264"/>
      <c r="L5" s="1277"/>
      <c r="M5" s="1301">
        <f>E$348</f>
        <v>0</v>
      </c>
      <c r="N5" s="1307"/>
      <c r="O5" s="743"/>
      <c r="P5" s="176"/>
      <c r="Q5" s="146"/>
    </row>
    <row r="6" spans="1:17" x14ac:dyDescent="0.3">
      <c r="A6" s="175" t="s">
        <v>83</v>
      </c>
      <c r="B6" s="210" t="s">
        <v>651</v>
      </c>
      <c r="C6" s="146"/>
      <c r="D6" s="146"/>
      <c r="E6" s="1245"/>
      <c r="F6" s="1286">
        <f>G$111</f>
        <v>0</v>
      </c>
      <c r="G6" s="1291"/>
      <c r="H6" s="1084">
        <f>G190</f>
        <v>0</v>
      </c>
      <c r="I6" s="743"/>
      <c r="J6" s="1085">
        <f>G269</f>
        <v>0</v>
      </c>
      <c r="K6" s="1264"/>
      <c r="L6" s="1277"/>
      <c r="M6" s="1301">
        <f>G$348</f>
        <v>0</v>
      </c>
      <c r="N6" s="1307"/>
      <c r="O6" s="743"/>
      <c r="P6" s="176"/>
      <c r="Q6" s="146"/>
    </row>
    <row r="7" spans="1:17" ht="15" thickBot="1" x14ac:dyDescent="0.35">
      <c r="A7" s="175" t="s">
        <v>90</v>
      </c>
      <c r="B7" s="210" t="s">
        <v>725</v>
      </c>
      <c r="C7" s="146"/>
      <c r="D7" s="146"/>
      <c r="E7" s="1245"/>
      <c r="F7" s="1286">
        <f>I$111</f>
        <v>0</v>
      </c>
      <c r="G7" s="1291"/>
      <c r="H7" s="1084">
        <f>I190</f>
        <v>0</v>
      </c>
      <c r="I7" s="743"/>
      <c r="J7" s="1085">
        <f>I269</f>
        <v>0</v>
      </c>
      <c r="K7" s="1264"/>
      <c r="L7" s="1277"/>
      <c r="M7" s="1301">
        <f>I$348</f>
        <v>0</v>
      </c>
      <c r="N7" s="1307"/>
      <c r="O7" s="743"/>
      <c r="P7" s="176"/>
      <c r="Q7" s="146"/>
    </row>
    <row r="8" spans="1:17" ht="15" thickBot="1" x14ac:dyDescent="0.35">
      <c r="A8" s="177"/>
      <c r="B8" s="178"/>
      <c r="C8" s="178"/>
      <c r="D8" s="178" t="s">
        <v>556</v>
      </c>
      <c r="E8" s="1086">
        <f t="shared" ref="E8:K8" si="0">SUBTOTAL(9,E5:E7)</f>
        <v>25000</v>
      </c>
      <c r="F8" s="1086">
        <f t="shared" si="0"/>
        <v>0</v>
      </c>
      <c r="G8" s="1292">
        <f t="shared" si="0"/>
        <v>0</v>
      </c>
      <c r="H8" s="1086">
        <f t="shared" si="0"/>
        <v>0</v>
      </c>
      <c r="I8" s="1087">
        <f t="shared" si="0"/>
        <v>0</v>
      </c>
      <c r="J8" s="1088">
        <f t="shared" si="0"/>
        <v>0</v>
      </c>
      <c r="K8" s="1270">
        <f t="shared" si="0"/>
        <v>0</v>
      </c>
      <c r="L8" s="1278">
        <f>SUBTOTAL(9,L5:L7)</f>
        <v>0</v>
      </c>
      <c r="M8" s="1302">
        <f>SUBTOTAL(9,M5:M7)</f>
        <v>0</v>
      </c>
      <c r="N8" s="1278">
        <f>SUBTOTAL(9,N5:N7)</f>
        <v>0</v>
      </c>
      <c r="O8" s="167">
        <f>SUBTOTAL(9,O5:O7)</f>
        <v>0</v>
      </c>
      <c r="P8" s="179"/>
      <c r="Q8" s="659"/>
    </row>
    <row r="9" spans="1:17" x14ac:dyDescent="0.3">
      <c r="A9" s="180" t="s">
        <v>119</v>
      </c>
      <c r="B9" s="181"/>
      <c r="C9" s="181"/>
      <c r="D9" s="181"/>
      <c r="E9" s="1028"/>
      <c r="F9" s="1287"/>
      <c r="G9" s="1293"/>
      <c r="H9" s="1089"/>
      <c r="I9" s="181"/>
      <c r="J9" s="1090"/>
      <c r="K9" s="1271"/>
      <c r="L9" s="1279"/>
      <c r="M9" s="1303"/>
      <c r="N9" s="1279"/>
      <c r="O9" s="181"/>
      <c r="P9" s="182"/>
      <c r="Q9" s="146"/>
    </row>
    <row r="10" spans="1:17" x14ac:dyDescent="0.3">
      <c r="A10" s="183" t="s">
        <v>134</v>
      </c>
      <c r="B10" s="146" t="s">
        <v>726</v>
      </c>
      <c r="C10" s="146"/>
      <c r="D10" s="146"/>
      <c r="E10" s="1253">
        <v>9600</v>
      </c>
      <c r="F10" s="1286">
        <v>9600</v>
      </c>
      <c r="G10" s="1291">
        <v>9600</v>
      </c>
      <c r="H10" s="1091">
        <v>9600</v>
      </c>
      <c r="I10" s="1092">
        <v>9600</v>
      </c>
      <c r="J10" s="1093">
        <f>800*12</f>
        <v>9600</v>
      </c>
      <c r="K10" s="1272"/>
      <c r="L10" s="1280"/>
      <c r="M10" s="1304">
        <f>800*12</f>
        <v>9600</v>
      </c>
      <c r="N10" s="1308"/>
      <c r="O10" s="743"/>
      <c r="P10" s="176"/>
      <c r="Q10" s="146"/>
    </row>
    <row r="11" spans="1:17" x14ac:dyDescent="0.3">
      <c r="A11" s="183" t="s">
        <v>136</v>
      </c>
      <c r="B11" s="210" t="s">
        <v>727</v>
      </c>
      <c r="C11" s="146"/>
      <c r="D11" s="146"/>
      <c r="E11" s="1253">
        <v>4400</v>
      </c>
      <c r="F11" s="1286">
        <f>M$111</f>
        <v>0</v>
      </c>
      <c r="G11" s="1294"/>
      <c r="H11" s="1091">
        <f>M$190</f>
        <v>0</v>
      </c>
      <c r="I11" s="1092"/>
      <c r="J11" s="1094">
        <f>M$269</f>
        <v>0</v>
      </c>
      <c r="K11" s="116"/>
      <c r="L11" s="1277"/>
      <c r="M11" s="1305">
        <f>M$348</f>
        <v>0</v>
      </c>
      <c r="N11" s="1307"/>
      <c r="O11" s="743"/>
      <c r="P11" s="176"/>
      <c r="Q11" s="146"/>
    </row>
    <row r="12" spans="1:17" x14ac:dyDescent="0.3">
      <c r="A12" s="183" t="s">
        <v>728</v>
      </c>
      <c r="B12" s="210" t="s">
        <v>729</v>
      </c>
      <c r="C12" s="146"/>
      <c r="D12" s="146"/>
      <c r="E12" s="1253">
        <v>6000</v>
      </c>
      <c r="F12" s="1286">
        <f>O$111</f>
        <v>0</v>
      </c>
      <c r="G12" s="1294"/>
      <c r="H12" s="1091">
        <f>O$190</f>
        <v>0</v>
      </c>
      <c r="I12" s="1092"/>
      <c r="J12" s="1094">
        <f>O$269</f>
        <v>0</v>
      </c>
      <c r="K12" s="116"/>
      <c r="L12" s="1277"/>
      <c r="M12" s="1305">
        <f>O$348</f>
        <v>0</v>
      </c>
      <c r="N12" s="1307"/>
      <c r="O12" s="743"/>
      <c r="P12" s="176"/>
      <c r="Q12" s="146"/>
    </row>
    <row r="13" spans="1:17" x14ac:dyDescent="0.3">
      <c r="A13" s="183" t="s">
        <v>266</v>
      </c>
      <c r="B13" s="210" t="s">
        <v>730</v>
      </c>
      <c r="C13" s="184"/>
      <c r="D13" s="184"/>
      <c r="E13" s="1252">
        <v>2500</v>
      </c>
      <c r="F13" s="1286">
        <f>Q$111</f>
        <v>0</v>
      </c>
      <c r="G13" s="1295"/>
      <c r="H13" s="1091">
        <f>Q$190</f>
        <v>0</v>
      </c>
      <c r="I13" s="1095"/>
      <c r="J13" s="1094">
        <f>Q$269</f>
        <v>0</v>
      </c>
      <c r="K13" s="116"/>
      <c r="L13" s="1277"/>
      <c r="M13" s="1305">
        <f>Q$348</f>
        <v>0</v>
      </c>
      <c r="N13" s="1307"/>
      <c r="O13" s="744"/>
      <c r="P13" s="185"/>
      <c r="Q13" s="146"/>
    </row>
    <row r="14" spans="1:17" x14ac:dyDescent="0.3">
      <c r="A14" s="183" t="s">
        <v>292</v>
      </c>
      <c r="B14" s="212" t="s">
        <v>731</v>
      </c>
      <c r="C14" s="80"/>
      <c r="D14" s="80"/>
      <c r="E14" s="1254">
        <v>500</v>
      </c>
      <c r="F14" s="1286">
        <f>S$111</f>
        <v>0</v>
      </c>
      <c r="G14" s="1296"/>
      <c r="H14" s="1091">
        <f>S$190</f>
        <v>0</v>
      </c>
      <c r="I14" s="1096"/>
      <c r="J14" s="1094">
        <f>S$269</f>
        <v>0</v>
      </c>
      <c r="K14" s="116"/>
      <c r="L14" s="1277"/>
      <c r="M14" s="1305">
        <f>S$348</f>
        <v>0</v>
      </c>
      <c r="N14" s="1307"/>
      <c r="O14" s="745"/>
      <c r="P14" s="186"/>
      <c r="Q14" s="80"/>
    </row>
    <row r="15" spans="1:17" x14ac:dyDescent="0.3">
      <c r="A15" s="183" t="s">
        <v>335</v>
      </c>
      <c r="B15" s="210" t="s">
        <v>732</v>
      </c>
      <c r="C15" s="146"/>
      <c r="D15" s="146"/>
      <c r="E15" s="1253">
        <v>25000</v>
      </c>
      <c r="F15" s="1286">
        <f>U$111</f>
        <v>0</v>
      </c>
      <c r="G15" s="1294"/>
      <c r="H15" s="1091">
        <f>U$190</f>
        <v>0</v>
      </c>
      <c r="I15" s="1092"/>
      <c r="J15" s="1094">
        <f>U$269</f>
        <v>0</v>
      </c>
      <c r="K15" s="116"/>
      <c r="L15" s="1277"/>
      <c r="M15" s="1305">
        <f>U$348</f>
        <v>0</v>
      </c>
      <c r="N15" s="1307"/>
      <c r="O15" s="743"/>
      <c r="P15" s="176"/>
      <c r="Q15" s="146"/>
    </row>
    <row r="16" spans="1:17" x14ac:dyDescent="0.3">
      <c r="A16" s="183" t="s">
        <v>346</v>
      </c>
      <c r="B16" s="211" t="s">
        <v>318</v>
      </c>
      <c r="C16" s="80"/>
      <c r="D16" s="80"/>
      <c r="E16" s="1254">
        <v>3000</v>
      </c>
      <c r="F16" s="1286">
        <f>W$111</f>
        <v>0</v>
      </c>
      <c r="G16" s="1296"/>
      <c r="H16" s="1091">
        <f>W$190</f>
        <v>0</v>
      </c>
      <c r="I16" s="1096"/>
      <c r="J16" s="1094">
        <f>W$269</f>
        <v>0</v>
      </c>
      <c r="K16" s="116"/>
      <c r="L16" s="1277"/>
      <c r="M16" s="1305">
        <f>W$348</f>
        <v>0</v>
      </c>
      <c r="N16" s="1307"/>
      <c r="O16" s="745"/>
      <c r="P16" s="186"/>
      <c r="Q16" s="80"/>
    </row>
    <row r="17" spans="1:38" x14ac:dyDescent="0.3">
      <c r="A17" s="183" t="s">
        <v>357</v>
      </c>
      <c r="B17" s="211" t="s">
        <v>733</v>
      </c>
      <c r="C17" s="80"/>
      <c r="D17" s="80"/>
      <c r="E17" s="1254">
        <v>1000</v>
      </c>
      <c r="F17" s="1286">
        <f>Y$111</f>
        <v>0</v>
      </c>
      <c r="G17" s="1296"/>
      <c r="H17" s="1091">
        <f>Y$190</f>
        <v>0</v>
      </c>
      <c r="I17" s="1096"/>
      <c r="J17" s="1094">
        <f>Y$269</f>
        <v>0</v>
      </c>
      <c r="K17" s="116"/>
      <c r="L17" s="1277"/>
      <c r="M17" s="1305">
        <f>Y$348</f>
        <v>0</v>
      </c>
      <c r="N17" s="1307"/>
      <c r="O17" s="745"/>
      <c r="P17" s="186"/>
      <c r="Q17" s="80"/>
    </row>
    <row r="18" spans="1:38" x14ac:dyDescent="0.3">
      <c r="A18" s="183" t="s">
        <v>364</v>
      </c>
      <c r="B18" s="211" t="s">
        <v>363</v>
      </c>
      <c r="C18" s="80"/>
      <c r="D18" s="80"/>
      <c r="E18" s="1254">
        <v>300</v>
      </c>
      <c r="F18" s="1286">
        <f>AA$111</f>
        <v>0</v>
      </c>
      <c r="G18" s="1296"/>
      <c r="H18" s="1091">
        <f>AA$190</f>
        <v>0</v>
      </c>
      <c r="I18" s="1096"/>
      <c r="J18" s="1094">
        <f>AA$269</f>
        <v>0</v>
      </c>
      <c r="K18" s="116"/>
      <c r="L18" s="1277"/>
      <c r="M18" s="1305">
        <f>AA$348</f>
        <v>0</v>
      </c>
      <c r="N18" s="1307"/>
      <c r="O18" s="745"/>
      <c r="P18" s="186"/>
      <c r="Q18" s="80"/>
    </row>
    <row r="19" spans="1:38" x14ac:dyDescent="0.3">
      <c r="A19" s="183" t="s">
        <v>376</v>
      </c>
      <c r="B19" s="211" t="s">
        <v>734</v>
      </c>
      <c r="C19" s="80"/>
      <c r="D19" s="80"/>
      <c r="E19" s="1254">
        <v>500</v>
      </c>
      <c r="F19" s="1286">
        <f>AC$111</f>
        <v>0</v>
      </c>
      <c r="G19" s="1296"/>
      <c r="H19" s="1091">
        <f>AC$190</f>
        <v>0</v>
      </c>
      <c r="I19" s="1096"/>
      <c r="J19" s="1094">
        <f>AC$269</f>
        <v>0</v>
      </c>
      <c r="K19" s="116"/>
      <c r="L19" s="1277"/>
      <c r="M19" s="1305">
        <f>AC$348</f>
        <v>0</v>
      </c>
      <c r="N19" s="1307"/>
      <c r="O19" s="745"/>
      <c r="P19" s="186"/>
      <c r="Q19" s="80"/>
    </row>
    <row r="20" spans="1:38" x14ac:dyDescent="0.3">
      <c r="A20" s="183" t="s">
        <v>386</v>
      </c>
      <c r="B20" s="212" t="s">
        <v>1229</v>
      </c>
      <c r="C20" s="80"/>
      <c r="D20" s="80"/>
      <c r="E20" s="1254">
        <v>500</v>
      </c>
      <c r="F20" s="1286">
        <f>AE$111</f>
        <v>0</v>
      </c>
      <c r="G20" s="1296"/>
      <c r="H20" s="1091">
        <f>AE$190</f>
        <v>0</v>
      </c>
      <c r="I20" s="1096"/>
      <c r="J20" s="1094">
        <f>AE$269</f>
        <v>0</v>
      </c>
      <c r="K20" s="116"/>
      <c r="L20" s="1277"/>
      <c r="M20" s="1305">
        <f>AE$348</f>
        <v>0</v>
      </c>
      <c r="N20" s="1307"/>
      <c r="O20" s="745"/>
      <c r="P20" s="186"/>
      <c r="Q20" s="80"/>
    </row>
    <row r="21" spans="1:38" x14ac:dyDescent="0.3">
      <c r="A21" s="183" t="s">
        <v>398</v>
      </c>
      <c r="B21" s="212" t="s">
        <v>397</v>
      </c>
      <c r="C21" s="80"/>
      <c r="D21" s="80"/>
      <c r="E21" s="1254">
        <v>500</v>
      </c>
      <c r="F21" s="1286">
        <f>AG$111</f>
        <v>0</v>
      </c>
      <c r="G21" s="1296"/>
      <c r="H21" s="1091">
        <f>AG$190</f>
        <v>0</v>
      </c>
      <c r="I21" s="1096"/>
      <c r="J21" s="1094">
        <f>AG$269</f>
        <v>0</v>
      </c>
      <c r="K21" s="116"/>
      <c r="L21" s="1277"/>
      <c r="M21" s="1305">
        <f>AG$348</f>
        <v>0</v>
      </c>
      <c r="N21" s="1307"/>
      <c r="O21" s="745"/>
      <c r="P21" s="186"/>
      <c r="Q21" s="80"/>
    </row>
    <row r="22" spans="1:38" ht="15" thickBot="1" x14ac:dyDescent="0.35">
      <c r="A22" s="183" t="s">
        <v>424</v>
      </c>
      <c r="B22" s="212" t="s">
        <v>675</v>
      </c>
      <c r="C22" s="80"/>
      <c r="D22" s="80"/>
      <c r="E22" s="1254">
        <v>300</v>
      </c>
      <c r="F22" s="1286">
        <f>AI$111</f>
        <v>0</v>
      </c>
      <c r="G22" s="1296"/>
      <c r="H22" s="1091">
        <f>AI$190</f>
        <v>0</v>
      </c>
      <c r="I22" s="1096"/>
      <c r="J22" s="1094">
        <f>AI$269</f>
        <v>0</v>
      </c>
      <c r="K22" s="116"/>
      <c r="L22" s="1281"/>
      <c r="M22" s="1305">
        <f>AI$348</f>
        <v>0</v>
      </c>
      <c r="N22" s="1309"/>
      <c r="O22" s="745"/>
      <c r="P22" s="186"/>
      <c r="Q22" s="80"/>
    </row>
    <row r="23" spans="1:38" ht="15" thickBot="1" x14ac:dyDescent="0.35">
      <c r="A23" s="187"/>
      <c r="B23" s="188"/>
      <c r="C23" s="188"/>
      <c r="D23" s="189" t="s">
        <v>556</v>
      </c>
      <c r="E23" s="194">
        <f t="shared" ref="E23:K23" si="1">SUBTOTAL(109,E10:E22)</f>
        <v>54100</v>
      </c>
      <c r="F23" s="1288">
        <f t="shared" si="1"/>
        <v>9600</v>
      </c>
      <c r="G23" s="1297">
        <f t="shared" si="1"/>
        <v>9600</v>
      </c>
      <c r="H23" s="194">
        <f t="shared" si="1"/>
        <v>9600</v>
      </c>
      <c r="I23" s="1311">
        <f t="shared" si="1"/>
        <v>9600</v>
      </c>
      <c r="J23" s="1098">
        <f t="shared" si="1"/>
        <v>9600</v>
      </c>
      <c r="K23" s="1273">
        <f t="shared" si="1"/>
        <v>0</v>
      </c>
      <c r="L23" s="1282">
        <f>SUBTOTAL(109,L10:L22)</f>
        <v>0</v>
      </c>
      <c r="M23" s="1273">
        <f>SUBTOTAL(109,M10:M22)</f>
        <v>9600</v>
      </c>
      <c r="N23" s="1310">
        <f>SUBTOTAL(109,N10:N22)</f>
        <v>0</v>
      </c>
      <c r="O23" s="171">
        <f>SUBTOTAL(109,O10:O22)</f>
        <v>0</v>
      </c>
      <c r="P23" s="190"/>
      <c r="Q23" s="1268"/>
    </row>
    <row r="24" spans="1:38" x14ac:dyDescent="0.3">
      <c r="A24" s="77"/>
      <c r="B24" s="76"/>
      <c r="C24" s="76"/>
      <c r="D24" s="76"/>
      <c r="E24" s="76"/>
      <c r="F24" s="76"/>
      <c r="G24" s="1298"/>
      <c r="H24" s="76"/>
      <c r="L24" s="1274"/>
      <c r="N24" s="1274"/>
    </row>
    <row r="25" spans="1:38" x14ac:dyDescent="0.3">
      <c r="A25" s="77"/>
      <c r="B25" s="76"/>
      <c r="C25" s="76"/>
      <c r="D25" s="192" t="s">
        <v>735</v>
      </c>
      <c r="E25" s="1283">
        <f>E8-Tabelle189667576[[#Totals],[Freie Eingabe HHJ 24-25]]</f>
        <v>-29100</v>
      </c>
      <c r="F25" s="1283">
        <f>F8-Tabelle189667576[[#Totals],[Rechnung HHJ 24-25]]</f>
        <v>-9600</v>
      </c>
      <c r="G25" s="1283">
        <f>G8-Tabelle189667576[[#Totals],[Freie Eingabe NHH 23-24]]</f>
        <v>-9600</v>
      </c>
      <c r="H25" s="1099">
        <f>H8-Tabelle189667576[[#Totals],[Rechnung NHH 23-24]]</f>
        <v>-9600</v>
      </c>
      <c r="I25" s="1099">
        <f>I8-Tabelle189667576[[#Totals],[Freie Eingabe HHJ 23-24]]</f>
        <v>-9600</v>
      </c>
      <c r="J25" s="1099">
        <f>J8-Tabelle189667576[[#Totals],[Rechnung HHJ 23-24]]</f>
        <v>-9600</v>
      </c>
      <c r="K25" s="1099">
        <f>K8-Tabelle189667576[[#Totals],[IST HHJ 23-24]]</f>
        <v>0</v>
      </c>
      <c r="L25" s="1283">
        <f>L8-Tabelle189667576[[#Totals],[Freie Eingabe Plan HHJ 22-23]]</f>
        <v>0</v>
      </c>
      <c r="M25" s="1099">
        <f>M8-Tabelle189667576[[#Totals],[Rechnung HHJ 22-23]]</f>
        <v>-9600</v>
      </c>
      <c r="N25" s="1283">
        <f>N8-Tabelle189667576[[#Totals],[Freie Eingabe Plan HHJ 21-22]]</f>
        <v>0</v>
      </c>
      <c r="O25" s="1099">
        <f>O8-Tabelle189667576[[#Totals],[IST HHJ 21-22]]</f>
        <v>0</v>
      </c>
    </row>
    <row r="26" spans="1:38" x14ac:dyDescent="0.3">
      <c r="A26" s="77"/>
      <c r="B26" s="76"/>
      <c r="C26" s="76"/>
      <c r="D26" s="192"/>
      <c r="E26" s="1099"/>
      <c r="F26" s="1099"/>
      <c r="G26" s="1283"/>
      <c r="H26" s="1099"/>
      <c r="I26" s="1099"/>
      <c r="J26" s="1099"/>
      <c r="K26" s="1099"/>
      <c r="L26" s="1283"/>
      <c r="M26" s="1099"/>
      <c r="N26" s="1283"/>
    </row>
    <row r="27" spans="1:38" x14ac:dyDescent="0.3">
      <c r="A27" s="77"/>
      <c r="B27" s="76"/>
      <c r="C27" s="76"/>
      <c r="D27" s="192"/>
      <c r="E27" s="1099"/>
      <c r="F27" s="1099"/>
      <c r="G27" s="1283"/>
      <c r="H27" s="1099"/>
      <c r="I27" s="1099"/>
      <c r="J27" s="1099"/>
      <c r="K27" s="1099"/>
      <c r="L27" s="1283"/>
      <c r="M27" s="1099"/>
      <c r="N27" s="1283"/>
    </row>
    <row r="28" spans="1:38" s="1104" customFormat="1" x14ac:dyDescent="0.3">
      <c r="A28" s="1100"/>
      <c r="B28" s="1101"/>
      <c r="C28" s="1101"/>
      <c r="D28" s="1102"/>
      <c r="E28" s="1103"/>
      <c r="F28" s="1103"/>
      <c r="G28" s="1103"/>
      <c r="H28" s="1103"/>
      <c r="I28" s="1103"/>
      <c r="J28" s="1103"/>
      <c r="K28" s="1103"/>
      <c r="L28" s="1103"/>
      <c r="M28" s="1103"/>
      <c r="N28" s="1103"/>
    </row>
    <row r="29" spans="1:38" x14ac:dyDescent="0.3">
      <c r="A29" s="77"/>
      <c r="B29" s="76"/>
      <c r="C29" s="76"/>
      <c r="D29" s="76"/>
      <c r="E29" s="76"/>
      <c r="F29" s="76"/>
      <c r="G29" s="76"/>
      <c r="H29" s="76"/>
    </row>
    <row r="30" spans="1:38" ht="18" x14ac:dyDescent="0.3">
      <c r="A30" s="1105" t="s">
        <v>1401</v>
      </c>
      <c r="C30" s="76"/>
      <c r="D30" s="76"/>
      <c r="E30" s="76"/>
      <c r="F30" s="76"/>
      <c r="G30" s="76"/>
      <c r="H30" s="76"/>
    </row>
    <row r="31" spans="1:38" x14ac:dyDescent="0.3">
      <c r="A31" s="77"/>
      <c r="B31" s="76"/>
      <c r="C31" s="76"/>
      <c r="D31" s="76"/>
      <c r="E31" s="76"/>
      <c r="F31" s="76"/>
      <c r="G31" s="76"/>
      <c r="H31" s="76"/>
    </row>
    <row r="32" spans="1:38" ht="69" x14ac:dyDescent="0.3">
      <c r="A32" s="1355" t="s">
        <v>1402</v>
      </c>
      <c r="B32" s="1355"/>
      <c r="C32" s="1355"/>
      <c r="D32" s="1355"/>
      <c r="E32" s="1106" t="s">
        <v>650</v>
      </c>
      <c r="F32" s="1106" t="s">
        <v>8</v>
      </c>
      <c r="G32" s="1107" t="s">
        <v>651</v>
      </c>
      <c r="H32" s="1106" t="s">
        <v>8</v>
      </c>
      <c r="I32" s="1107" t="s">
        <v>725</v>
      </c>
      <c r="J32" s="1106" t="s">
        <v>8</v>
      </c>
      <c r="K32" s="1107" t="s">
        <v>726</v>
      </c>
      <c r="L32" s="1106" t="s">
        <v>8</v>
      </c>
      <c r="M32" s="1107" t="s">
        <v>727</v>
      </c>
      <c r="N32" s="1106" t="s">
        <v>8</v>
      </c>
      <c r="O32" s="1107" t="s">
        <v>1403</v>
      </c>
      <c r="P32" s="1106" t="s">
        <v>8</v>
      </c>
      <c r="Q32" s="1107" t="s">
        <v>256</v>
      </c>
      <c r="R32" s="1106" t="s">
        <v>8</v>
      </c>
      <c r="S32" s="1107" t="s">
        <v>731</v>
      </c>
      <c r="T32" s="1106" t="s">
        <v>8</v>
      </c>
      <c r="U32" s="1107" t="s">
        <v>732</v>
      </c>
      <c r="V32" s="1106" t="s">
        <v>8</v>
      </c>
      <c r="W32" s="1107" t="s">
        <v>318</v>
      </c>
      <c r="X32" s="1106" t="s">
        <v>8</v>
      </c>
      <c r="Y32" s="1107" t="s">
        <v>733</v>
      </c>
      <c r="Z32" s="1106" t="s">
        <v>8</v>
      </c>
      <c r="AA32" s="1107" t="s">
        <v>363</v>
      </c>
      <c r="AB32" s="1106" t="s">
        <v>8</v>
      </c>
      <c r="AC32" s="1107" t="s">
        <v>375</v>
      </c>
      <c r="AD32" s="1106" t="s">
        <v>8</v>
      </c>
      <c r="AE32" s="1107" t="s">
        <v>1222</v>
      </c>
      <c r="AF32" s="1106" t="s">
        <v>8</v>
      </c>
      <c r="AG32" s="1107" t="s">
        <v>397</v>
      </c>
      <c r="AH32" s="1106" t="s">
        <v>8</v>
      </c>
      <c r="AI32" s="1107" t="s">
        <v>675</v>
      </c>
      <c r="AJ32" s="1107"/>
      <c r="AK32" s="1108" t="s">
        <v>1404</v>
      </c>
      <c r="AL32" s="1106" t="s">
        <v>1405</v>
      </c>
    </row>
    <row r="33" spans="1:38" x14ac:dyDescent="0.3">
      <c r="A33" s="1109"/>
      <c r="B33" s="1109"/>
      <c r="C33" s="1109"/>
      <c r="D33" s="1109"/>
      <c r="E33" s="1106"/>
      <c r="F33" s="1106"/>
      <c r="G33" s="1107"/>
      <c r="H33" s="1106"/>
      <c r="I33" s="1107"/>
      <c r="J33" s="1106"/>
      <c r="K33" s="1107"/>
      <c r="L33" s="1106"/>
      <c r="M33" s="1107"/>
      <c r="N33" s="1106"/>
      <c r="O33" s="1107"/>
      <c r="P33" s="1106"/>
      <c r="Q33" s="1107"/>
      <c r="R33" s="1106"/>
      <c r="S33" s="1107"/>
      <c r="T33" s="1106"/>
      <c r="U33" s="1107"/>
      <c r="V33" s="1106"/>
      <c r="W33" s="1107"/>
      <c r="X33" s="1106"/>
      <c r="Y33" s="1107"/>
      <c r="Z33" s="1106"/>
      <c r="AA33" s="1107"/>
      <c r="AB33" s="1106"/>
      <c r="AC33" s="1107"/>
      <c r="AD33" s="1106"/>
      <c r="AE33" s="1107"/>
      <c r="AF33" s="1106"/>
      <c r="AG33" s="1107"/>
      <c r="AH33" s="1106"/>
      <c r="AI33" s="1107"/>
      <c r="AJ33" s="1107"/>
      <c r="AK33" s="1108"/>
      <c r="AL33" s="1106"/>
    </row>
    <row r="34" spans="1:38" ht="18" x14ac:dyDescent="0.3">
      <c r="A34" s="1110" t="s">
        <v>1406</v>
      </c>
      <c r="B34" s="1111"/>
      <c r="C34" s="1111"/>
      <c r="D34" s="1111"/>
      <c r="E34" s="1112"/>
      <c r="F34" s="1112"/>
      <c r="G34" s="660"/>
      <c r="H34" s="660"/>
      <c r="I34" s="660"/>
      <c r="J34" s="660"/>
      <c r="K34" s="660"/>
      <c r="L34" s="660"/>
      <c r="M34" s="660"/>
      <c r="N34" s="660"/>
      <c r="O34" s="660"/>
      <c r="P34" s="660"/>
      <c r="Q34" s="660"/>
      <c r="R34" s="660"/>
      <c r="S34" s="660"/>
      <c r="T34" s="660"/>
      <c r="U34" s="660"/>
      <c r="V34" s="660"/>
      <c r="W34" s="660"/>
      <c r="X34" s="660"/>
      <c r="Y34" s="660"/>
      <c r="Z34" s="660"/>
      <c r="AA34" s="660"/>
      <c r="AB34" s="660"/>
      <c r="AC34" s="660"/>
      <c r="AD34" s="660"/>
      <c r="AE34" s="660"/>
      <c r="AF34" s="660"/>
      <c r="AG34" s="660"/>
      <c r="AH34" s="660"/>
      <c r="AI34" s="660"/>
      <c r="AJ34" s="660"/>
      <c r="AK34" s="660"/>
    </row>
    <row r="35" spans="1:38" ht="17.25" customHeight="1" thickBot="1" x14ac:dyDescent="0.35">
      <c r="A35" s="39"/>
      <c r="B35" s="1113"/>
      <c r="C35" s="1113"/>
      <c r="D35" s="1114" t="s">
        <v>1407</v>
      </c>
      <c r="E35" s="1115" t="s">
        <v>69</v>
      </c>
      <c r="F35" s="1116" t="s">
        <v>8</v>
      </c>
      <c r="G35" s="1115" t="s">
        <v>83</v>
      </c>
      <c r="H35" s="1116" t="s">
        <v>8</v>
      </c>
      <c r="I35" s="1115" t="s">
        <v>90</v>
      </c>
      <c r="J35" s="1116" t="s">
        <v>8</v>
      </c>
      <c r="K35" s="1117" t="s">
        <v>134</v>
      </c>
      <c r="L35" s="1118" t="s">
        <v>8</v>
      </c>
      <c r="M35" s="1117" t="s">
        <v>136</v>
      </c>
      <c r="N35" s="1118" t="s">
        <v>8</v>
      </c>
      <c r="O35" s="1117" t="s">
        <v>728</v>
      </c>
      <c r="P35" s="1118" t="s">
        <v>8</v>
      </c>
      <c r="Q35" s="1117" t="s">
        <v>266</v>
      </c>
      <c r="R35" s="1118" t="s">
        <v>8</v>
      </c>
      <c r="S35" s="1117" t="s">
        <v>292</v>
      </c>
      <c r="T35" s="1118" t="s">
        <v>8</v>
      </c>
      <c r="U35" s="1117" t="s">
        <v>335</v>
      </c>
      <c r="V35" s="1118" t="s">
        <v>8</v>
      </c>
      <c r="W35" s="1117" t="s">
        <v>346</v>
      </c>
      <c r="X35" s="1118" t="s">
        <v>8</v>
      </c>
      <c r="Y35" s="1117" t="s">
        <v>357</v>
      </c>
      <c r="Z35" s="1118" t="s">
        <v>8</v>
      </c>
      <c r="AA35" s="1117" t="s">
        <v>364</v>
      </c>
      <c r="AB35" s="1118" t="s">
        <v>8</v>
      </c>
      <c r="AC35" s="1117" t="s">
        <v>376</v>
      </c>
      <c r="AD35" s="1118" t="s">
        <v>8</v>
      </c>
      <c r="AE35" s="1117" t="s">
        <v>386</v>
      </c>
      <c r="AF35" s="1118" t="s">
        <v>8</v>
      </c>
      <c r="AG35" s="1117" t="s">
        <v>398</v>
      </c>
      <c r="AH35" s="1118" t="s">
        <v>8</v>
      </c>
      <c r="AI35" s="1117" t="s">
        <v>424</v>
      </c>
      <c r="AJ35" s="1119" t="s">
        <v>8</v>
      </c>
      <c r="AK35" s="1120" t="s">
        <v>1404</v>
      </c>
      <c r="AL35" s="1121" t="s">
        <v>1405</v>
      </c>
    </row>
    <row r="36" spans="1:38" ht="18" outlineLevel="1" x14ac:dyDescent="0.35">
      <c r="A36" s="1122" t="s">
        <v>1223</v>
      </c>
      <c r="B36" s="1123" t="s">
        <v>625</v>
      </c>
      <c r="C36" s="1124" t="s">
        <v>1523</v>
      </c>
      <c r="D36" s="1125" t="s">
        <v>1409</v>
      </c>
      <c r="E36" s="1126"/>
      <c r="F36" s="1127"/>
      <c r="G36" s="1127"/>
      <c r="H36" s="1127"/>
      <c r="I36" s="1127"/>
      <c r="J36" s="1127"/>
      <c r="K36" s="1127"/>
      <c r="L36" s="1127"/>
      <c r="M36" s="1127"/>
      <c r="N36" s="1127"/>
      <c r="O36" s="1127"/>
      <c r="P36" s="1127"/>
      <c r="Q36" s="1127"/>
      <c r="R36" s="1127"/>
      <c r="S36" s="1127"/>
      <c r="T36" s="1127"/>
      <c r="U36" s="1127"/>
      <c r="V36" s="1127"/>
      <c r="W36" s="1127"/>
      <c r="X36" s="1127"/>
      <c r="Y36" s="1127"/>
      <c r="Z36" s="1127"/>
      <c r="AA36" s="1127"/>
      <c r="AB36" s="1127"/>
      <c r="AC36" s="1127"/>
      <c r="AD36" s="1127"/>
      <c r="AE36" s="1127"/>
      <c r="AF36" s="1127"/>
      <c r="AG36" s="1127"/>
      <c r="AH36" s="1127"/>
      <c r="AI36" s="1127"/>
      <c r="AJ36" s="1128"/>
      <c r="AK36" s="1128"/>
      <c r="AL36" s="1129"/>
    </row>
    <row r="37" spans="1:38" ht="276" hidden="1" outlineLevel="2" x14ac:dyDescent="0.3">
      <c r="A37" s="1130"/>
      <c r="B37" s="1131" t="s">
        <v>1518</v>
      </c>
      <c r="C37" s="1132"/>
      <c r="D37" s="1133"/>
      <c r="E37" s="1134"/>
      <c r="F37" s="1135"/>
      <c r="G37" s="1135"/>
      <c r="H37" s="1135"/>
      <c r="I37" s="1135"/>
      <c r="J37" s="1135"/>
      <c r="K37" s="1135"/>
      <c r="L37" s="1135"/>
      <c r="M37" s="1135"/>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6"/>
      <c r="AK37" s="1136"/>
      <c r="AL37" s="1137"/>
    </row>
    <row r="38" spans="1:38" s="39" customFormat="1" ht="47.25" hidden="1" customHeight="1" outlineLevel="2" x14ac:dyDescent="0.3">
      <c r="A38" s="1130"/>
      <c r="B38" s="1131" t="s">
        <v>1367</v>
      </c>
      <c r="C38" s="1132"/>
      <c r="D38" s="1133"/>
      <c r="E38" s="1134"/>
      <c r="F38" s="1135"/>
      <c r="G38" s="1135"/>
      <c r="H38" s="1135"/>
      <c r="I38" s="1135"/>
      <c r="J38" s="1135"/>
      <c r="K38" s="1135"/>
      <c r="L38" s="1135"/>
      <c r="M38" s="1135"/>
      <c r="N38" s="1135"/>
      <c r="O38" s="1135"/>
      <c r="P38" s="1135"/>
      <c r="Q38" s="1135"/>
      <c r="R38" s="1135"/>
      <c r="S38" s="1135"/>
      <c r="T38" s="1135"/>
      <c r="U38" s="1135"/>
      <c r="V38" s="1135"/>
      <c r="W38" s="1135"/>
      <c r="X38" s="1135"/>
      <c r="Y38" s="1135"/>
      <c r="Z38" s="1135"/>
      <c r="AA38" s="1135"/>
      <c r="AB38" s="1135"/>
      <c r="AC38" s="1135"/>
      <c r="AD38" s="1135"/>
      <c r="AE38" s="1135"/>
      <c r="AF38" s="1135"/>
      <c r="AG38" s="1135"/>
      <c r="AH38" s="1135"/>
      <c r="AI38" s="1135"/>
      <c r="AJ38" s="1136"/>
      <c r="AK38" s="1137">
        <f t="shared" ref="AK38:AL69" si="2">SUM(E38,G38,I38)-SUM(K38,M38,O38,Q38,S38,U38,W38,Y38,AA38,AC38,AE38,AG38,AI38)</f>
        <v>0</v>
      </c>
      <c r="AL38" s="1137">
        <f t="shared" si="2"/>
        <v>0</v>
      </c>
    </row>
    <row r="39" spans="1:38" ht="17.25" hidden="1" customHeight="1" outlineLevel="2" x14ac:dyDescent="0.3">
      <c r="A39" s="1130"/>
      <c r="B39" s="1131" t="s">
        <v>706</v>
      </c>
      <c r="C39" s="1132"/>
      <c r="D39" s="1133"/>
      <c r="E39" s="1134"/>
      <c r="F39" s="1135"/>
      <c r="G39" s="1135"/>
      <c r="H39" s="1135"/>
      <c r="I39" s="1135"/>
      <c r="J39" s="1135"/>
      <c r="K39" s="1135"/>
      <c r="L39" s="1135"/>
      <c r="M39" s="1135"/>
      <c r="N39" s="1135"/>
      <c r="O39" s="1135"/>
      <c r="P39" s="1135"/>
      <c r="Q39" s="1135"/>
      <c r="R39" s="1135"/>
      <c r="S39" s="1135"/>
      <c r="T39" s="1135"/>
      <c r="U39" s="1135"/>
      <c r="V39" s="1135"/>
      <c r="W39" s="1135"/>
      <c r="X39" s="1135"/>
      <c r="Y39" s="1135"/>
      <c r="Z39" s="1135"/>
      <c r="AA39" s="1135"/>
      <c r="AB39" s="1135"/>
      <c r="AC39" s="1135"/>
      <c r="AD39" s="1135"/>
      <c r="AE39" s="1135"/>
      <c r="AF39" s="1135"/>
      <c r="AG39" s="1135"/>
      <c r="AH39" s="1135"/>
      <c r="AI39" s="1135"/>
      <c r="AJ39" s="1136"/>
      <c r="AK39" s="1137">
        <f t="shared" si="2"/>
        <v>0</v>
      </c>
      <c r="AL39" s="1137">
        <f t="shared" si="2"/>
        <v>0</v>
      </c>
    </row>
    <row r="40" spans="1:38" ht="17.25" hidden="1" customHeight="1" outlineLevel="2" x14ac:dyDescent="0.3">
      <c r="A40" s="1130"/>
      <c r="B40" s="1138" t="s">
        <v>751</v>
      </c>
      <c r="C40" s="1139"/>
      <c r="D40" s="1140"/>
      <c r="E40" s="1134"/>
      <c r="F40" s="1141"/>
      <c r="G40" s="1141"/>
      <c r="H40" s="1141"/>
      <c r="I40" s="1141"/>
      <c r="J40" s="1141"/>
      <c r="K40" s="1135"/>
      <c r="L40" s="1141"/>
      <c r="M40" s="1141"/>
      <c r="N40" s="1141"/>
      <c r="O40" s="1141"/>
      <c r="P40" s="1141"/>
      <c r="Q40" s="1141"/>
      <c r="R40" s="1141"/>
      <c r="S40" s="1141"/>
      <c r="T40" s="1141"/>
      <c r="U40" s="1135"/>
      <c r="V40" s="1141"/>
      <c r="W40" s="1141"/>
      <c r="X40" s="1141"/>
      <c r="Y40" s="1141"/>
      <c r="Z40" s="1141"/>
      <c r="AA40" s="1141"/>
      <c r="AB40" s="1141"/>
      <c r="AC40" s="1141"/>
      <c r="AD40" s="1141"/>
      <c r="AE40" s="1135"/>
      <c r="AF40" s="1141"/>
      <c r="AG40" s="1135"/>
      <c r="AH40" s="1141"/>
      <c r="AI40" s="1141"/>
      <c r="AJ40" s="1142"/>
      <c r="AK40" s="1137">
        <f t="shared" si="2"/>
        <v>0</v>
      </c>
      <c r="AL40" s="1137">
        <f t="shared" si="2"/>
        <v>0</v>
      </c>
    </row>
    <row r="41" spans="1:38" hidden="1" outlineLevel="2" x14ac:dyDescent="0.3">
      <c r="A41" s="1130"/>
      <c r="B41" s="1138"/>
      <c r="C41" s="1139"/>
      <c r="D41" s="1140"/>
      <c r="E41" s="1134"/>
      <c r="F41" s="1141"/>
      <c r="G41" s="1141"/>
      <c r="H41" s="1141"/>
      <c r="I41" s="1141"/>
      <c r="J41" s="1141"/>
      <c r="K41" s="1135"/>
      <c r="L41" s="1141"/>
      <c r="M41" s="1141"/>
      <c r="N41" s="1141"/>
      <c r="O41" s="1141"/>
      <c r="P41" s="1141"/>
      <c r="Q41" s="1141"/>
      <c r="R41" s="1141"/>
      <c r="S41" s="1141"/>
      <c r="T41" s="1141"/>
      <c r="U41" s="1135"/>
      <c r="V41" s="1141"/>
      <c r="W41" s="1141"/>
      <c r="X41" s="1141"/>
      <c r="Y41" s="1141"/>
      <c r="Z41" s="1141"/>
      <c r="AA41" s="1141"/>
      <c r="AB41" s="1141"/>
      <c r="AC41" s="1141"/>
      <c r="AD41" s="1141"/>
      <c r="AE41" s="1135"/>
      <c r="AF41" s="1141"/>
      <c r="AG41" s="1135"/>
      <c r="AH41" s="1141"/>
      <c r="AI41" s="1141"/>
      <c r="AJ41" s="1142"/>
      <c r="AK41" s="1137">
        <f t="shared" si="2"/>
        <v>0</v>
      </c>
      <c r="AL41" s="1137">
        <f t="shared" si="2"/>
        <v>0</v>
      </c>
    </row>
    <row r="42" spans="1:38" hidden="1" outlineLevel="2" x14ac:dyDescent="0.3">
      <c r="A42" s="1130"/>
      <c r="B42" s="1138"/>
      <c r="C42" s="1139"/>
      <c r="D42" s="1140"/>
      <c r="E42" s="1134"/>
      <c r="F42" s="1141"/>
      <c r="G42" s="1141"/>
      <c r="H42" s="1141"/>
      <c r="I42" s="1141"/>
      <c r="J42" s="1141"/>
      <c r="K42" s="1135"/>
      <c r="L42" s="1141"/>
      <c r="M42" s="1141"/>
      <c r="N42" s="1141"/>
      <c r="O42" s="1141"/>
      <c r="P42" s="1141"/>
      <c r="Q42" s="1141"/>
      <c r="R42" s="1141"/>
      <c r="S42" s="1141"/>
      <c r="T42" s="1141"/>
      <c r="U42" s="1135"/>
      <c r="V42" s="1141"/>
      <c r="W42" s="1141"/>
      <c r="X42" s="1141"/>
      <c r="Y42" s="1141"/>
      <c r="Z42" s="1141"/>
      <c r="AA42" s="1141"/>
      <c r="AB42" s="1141"/>
      <c r="AC42" s="1141"/>
      <c r="AD42" s="1141"/>
      <c r="AE42" s="1135"/>
      <c r="AF42" s="1141"/>
      <c r="AG42" s="1135"/>
      <c r="AH42" s="1141"/>
      <c r="AI42" s="1141"/>
      <c r="AJ42" s="1142"/>
      <c r="AK42" s="1137">
        <f t="shared" si="2"/>
        <v>0</v>
      </c>
      <c r="AL42" s="1137">
        <f t="shared" si="2"/>
        <v>0</v>
      </c>
    </row>
    <row r="43" spans="1:38" hidden="1" outlineLevel="2" x14ac:dyDescent="0.3">
      <c r="A43" s="1130"/>
      <c r="B43" s="1138" t="s">
        <v>631</v>
      </c>
      <c r="C43" s="1139"/>
      <c r="D43" s="1140"/>
      <c r="E43" s="1134"/>
      <c r="F43" s="1141"/>
      <c r="G43" s="1141"/>
      <c r="H43" s="1141"/>
      <c r="I43" s="1141"/>
      <c r="J43" s="1141"/>
      <c r="K43" s="1135"/>
      <c r="L43" s="1141"/>
      <c r="M43" s="1141"/>
      <c r="N43" s="1141"/>
      <c r="O43" s="1141"/>
      <c r="P43" s="1141"/>
      <c r="Q43" s="1141"/>
      <c r="R43" s="1141"/>
      <c r="S43" s="1141"/>
      <c r="T43" s="1141"/>
      <c r="U43" s="1135"/>
      <c r="V43" s="1141"/>
      <c r="W43" s="1141"/>
      <c r="X43" s="1141"/>
      <c r="Y43" s="1141"/>
      <c r="Z43" s="1141"/>
      <c r="AA43" s="1141"/>
      <c r="AB43" s="1141"/>
      <c r="AC43" s="1141"/>
      <c r="AD43" s="1141"/>
      <c r="AE43" s="1135"/>
      <c r="AF43" s="1141"/>
      <c r="AG43" s="1135"/>
      <c r="AH43" s="1141"/>
      <c r="AI43" s="1141"/>
      <c r="AJ43" s="1142"/>
      <c r="AK43" s="1137">
        <f t="shared" si="2"/>
        <v>0</v>
      </c>
      <c r="AL43" s="1137">
        <f t="shared" si="2"/>
        <v>0</v>
      </c>
    </row>
    <row r="44" spans="1:38" hidden="1" outlineLevel="2" x14ac:dyDescent="0.3">
      <c r="A44" s="1130"/>
      <c r="B44" s="1138"/>
      <c r="C44" s="1139"/>
      <c r="D44" s="1140"/>
      <c r="E44" s="1134"/>
      <c r="F44" s="1141"/>
      <c r="G44" s="1141"/>
      <c r="H44" s="1141"/>
      <c r="I44" s="1141"/>
      <c r="J44" s="1141"/>
      <c r="K44" s="1135"/>
      <c r="L44" s="1141"/>
      <c r="M44" s="1141"/>
      <c r="N44" s="1141"/>
      <c r="O44" s="1141"/>
      <c r="P44" s="1141"/>
      <c r="Q44" s="1141"/>
      <c r="R44" s="1141"/>
      <c r="S44" s="1141"/>
      <c r="T44" s="1141"/>
      <c r="U44" s="1135"/>
      <c r="V44" s="1141"/>
      <c r="W44" s="1141"/>
      <c r="X44" s="1141"/>
      <c r="Y44" s="1141"/>
      <c r="Z44" s="1141"/>
      <c r="AA44" s="1141"/>
      <c r="AB44" s="1141"/>
      <c r="AC44" s="1141"/>
      <c r="AD44" s="1141"/>
      <c r="AE44" s="1135"/>
      <c r="AF44" s="1141"/>
      <c r="AG44" s="1135"/>
      <c r="AH44" s="1141"/>
      <c r="AI44" s="1141"/>
      <c r="AJ44" s="1142"/>
      <c r="AK44" s="1137">
        <f t="shared" si="2"/>
        <v>0</v>
      </c>
      <c r="AL44" s="1137">
        <f t="shared" si="2"/>
        <v>0</v>
      </c>
    </row>
    <row r="45" spans="1:38" hidden="1" outlineLevel="2" x14ac:dyDescent="0.3">
      <c r="A45" s="1130"/>
      <c r="B45" s="1138"/>
      <c r="C45" s="1139"/>
      <c r="D45" s="1140"/>
      <c r="E45" s="1134"/>
      <c r="F45" s="1141"/>
      <c r="G45" s="1141"/>
      <c r="H45" s="1141"/>
      <c r="I45" s="1141"/>
      <c r="J45" s="1141"/>
      <c r="K45" s="1135"/>
      <c r="L45" s="1141"/>
      <c r="M45" s="1141"/>
      <c r="N45" s="1141"/>
      <c r="O45" s="1141"/>
      <c r="P45" s="1141"/>
      <c r="Q45" s="1141"/>
      <c r="R45" s="1141"/>
      <c r="S45" s="1141"/>
      <c r="T45" s="1141"/>
      <c r="U45" s="1135"/>
      <c r="V45" s="1141"/>
      <c r="W45" s="1141"/>
      <c r="X45" s="1141"/>
      <c r="Y45" s="1141"/>
      <c r="Z45" s="1141"/>
      <c r="AA45" s="1141"/>
      <c r="AB45" s="1141"/>
      <c r="AC45" s="1141"/>
      <c r="AD45" s="1141"/>
      <c r="AE45" s="1135"/>
      <c r="AF45" s="1141"/>
      <c r="AG45" s="1135"/>
      <c r="AH45" s="1141"/>
      <c r="AI45" s="1141"/>
      <c r="AJ45" s="1142"/>
      <c r="AK45" s="1137">
        <f t="shared" si="2"/>
        <v>0</v>
      </c>
      <c r="AL45" s="1137">
        <f t="shared" si="2"/>
        <v>0</v>
      </c>
    </row>
    <row r="46" spans="1:38" hidden="1" outlineLevel="2" x14ac:dyDescent="0.3">
      <c r="A46" s="1130"/>
      <c r="B46" s="1138"/>
      <c r="C46" s="1139"/>
      <c r="D46" s="1140"/>
      <c r="E46" s="1134"/>
      <c r="F46" s="1141"/>
      <c r="G46" s="1141"/>
      <c r="H46" s="1141"/>
      <c r="I46" s="1141"/>
      <c r="J46" s="1141"/>
      <c r="K46" s="1135"/>
      <c r="L46" s="1141"/>
      <c r="M46" s="1141"/>
      <c r="N46" s="1141"/>
      <c r="O46" s="1141"/>
      <c r="P46" s="1141"/>
      <c r="Q46" s="1141"/>
      <c r="R46" s="1141"/>
      <c r="S46" s="1141"/>
      <c r="T46" s="1141"/>
      <c r="U46" s="1135"/>
      <c r="V46" s="1141"/>
      <c r="W46" s="1141"/>
      <c r="X46" s="1141"/>
      <c r="Y46" s="1141"/>
      <c r="Z46" s="1141"/>
      <c r="AA46" s="1141"/>
      <c r="AB46" s="1141"/>
      <c r="AC46" s="1141"/>
      <c r="AD46" s="1141"/>
      <c r="AE46" s="1135"/>
      <c r="AF46" s="1141"/>
      <c r="AG46" s="1135"/>
      <c r="AH46" s="1141"/>
      <c r="AI46" s="1141"/>
      <c r="AJ46" s="1142"/>
      <c r="AK46" s="1137">
        <f t="shared" si="2"/>
        <v>0</v>
      </c>
      <c r="AL46" s="1137">
        <f t="shared" si="2"/>
        <v>0</v>
      </c>
    </row>
    <row r="47" spans="1:38" hidden="1" outlineLevel="2" x14ac:dyDescent="0.3">
      <c r="A47" s="1130"/>
      <c r="B47" s="1138"/>
      <c r="C47" s="1139"/>
      <c r="D47" s="1140"/>
      <c r="E47" s="1134"/>
      <c r="F47" s="1141"/>
      <c r="G47" s="1141"/>
      <c r="H47" s="1141"/>
      <c r="I47" s="1141"/>
      <c r="J47" s="1141"/>
      <c r="K47" s="1135"/>
      <c r="L47" s="1141"/>
      <c r="M47" s="1141"/>
      <c r="N47" s="1141"/>
      <c r="O47" s="1141"/>
      <c r="P47" s="1141"/>
      <c r="Q47" s="1141"/>
      <c r="R47" s="1141"/>
      <c r="S47" s="1141"/>
      <c r="T47" s="1141"/>
      <c r="U47" s="1135"/>
      <c r="V47" s="1141"/>
      <c r="W47" s="1141"/>
      <c r="X47" s="1141"/>
      <c r="Y47" s="1141"/>
      <c r="Z47" s="1141"/>
      <c r="AA47" s="1141"/>
      <c r="AB47" s="1141"/>
      <c r="AC47" s="1141"/>
      <c r="AD47" s="1141"/>
      <c r="AE47" s="1135"/>
      <c r="AF47" s="1141"/>
      <c r="AG47" s="1135"/>
      <c r="AH47" s="1141"/>
      <c r="AI47" s="1141"/>
      <c r="AJ47" s="1142"/>
      <c r="AK47" s="1137">
        <f t="shared" si="2"/>
        <v>0</v>
      </c>
      <c r="AL47" s="1137">
        <f t="shared" si="2"/>
        <v>0</v>
      </c>
    </row>
    <row r="48" spans="1:38" hidden="1" outlineLevel="2" x14ac:dyDescent="0.3">
      <c r="A48" s="1130"/>
      <c r="B48" s="1138"/>
      <c r="C48" s="1139"/>
      <c r="D48" s="1140"/>
      <c r="E48" s="1134"/>
      <c r="F48" s="1141"/>
      <c r="G48" s="1141"/>
      <c r="H48" s="1141"/>
      <c r="I48" s="1141"/>
      <c r="J48" s="1141"/>
      <c r="K48" s="1135"/>
      <c r="L48" s="1141"/>
      <c r="M48" s="1141"/>
      <c r="N48" s="1141"/>
      <c r="O48" s="1141"/>
      <c r="P48" s="1141"/>
      <c r="Q48" s="1141"/>
      <c r="R48" s="1141"/>
      <c r="S48" s="1141"/>
      <c r="T48" s="1141"/>
      <c r="U48" s="1135"/>
      <c r="V48" s="1141"/>
      <c r="W48" s="1141"/>
      <c r="X48" s="1141"/>
      <c r="Y48" s="1141"/>
      <c r="Z48" s="1141"/>
      <c r="AA48" s="1141"/>
      <c r="AB48" s="1141"/>
      <c r="AC48" s="1141"/>
      <c r="AD48" s="1141"/>
      <c r="AE48" s="1135"/>
      <c r="AF48" s="1141"/>
      <c r="AG48" s="1135"/>
      <c r="AH48" s="1141"/>
      <c r="AI48" s="1141"/>
      <c r="AJ48" s="1142"/>
      <c r="AK48" s="1137">
        <f t="shared" si="2"/>
        <v>0</v>
      </c>
      <c r="AL48" s="1137">
        <f t="shared" si="2"/>
        <v>0</v>
      </c>
    </row>
    <row r="49" spans="1:38" hidden="1" outlineLevel="2" x14ac:dyDescent="0.3">
      <c r="A49" s="1130"/>
      <c r="B49" s="1138"/>
      <c r="C49" s="1139"/>
      <c r="D49" s="1140"/>
      <c r="E49" s="1134"/>
      <c r="F49" s="1141"/>
      <c r="G49" s="1141"/>
      <c r="H49" s="1141"/>
      <c r="I49" s="1141"/>
      <c r="J49" s="1141"/>
      <c r="K49" s="1135"/>
      <c r="L49" s="1141"/>
      <c r="M49" s="1141"/>
      <c r="N49" s="1141"/>
      <c r="O49" s="1141"/>
      <c r="P49" s="1141"/>
      <c r="Q49" s="1141"/>
      <c r="R49" s="1141"/>
      <c r="S49" s="1141"/>
      <c r="T49" s="1141"/>
      <c r="U49" s="1135"/>
      <c r="V49" s="1141"/>
      <c r="W49" s="1141"/>
      <c r="X49" s="1141"/>
      <c r="Y49" s="1141"/>
      <c r="Z49" s="1141"/>
      <c r="AA49" s="1141"/>
      <c r="AB49" s="1141"/>
      <c r="AC49" s="1141"/>
      <c r="AD49" s="1141"/>
      <c r="AE49" s="1135"/>
      <c r="AF49" s="1141"/>
      <c r="AG49" s="1135"/>
      <c r="AH49" s="1141"/>
      <c r="AI49" s="1141"/>
      <c r="AJ49" s="1142"/>
      <c r="AK49" s="1137">
        <f t="shared" si="2"/>
        <v>0</v>
      </c>
      <c r="AL49" s="1137">
        <f t="shared" si="2"/>
        <v>0</v>
      </c>
    </row>
    <row r="50" spans="1:38" hidden="1" outlineLevel="2" x14ac:dyDescent="0.3">
      <c r="A50" s="1130"/>
      <c r="B50" s="1138"/>
      <c r="C50" s="1139"/>
      <c r="D50" s="1140"/>
      <c r="E50" s="1134"/>
      <c r="F50" s="1141"/>
      <c r="G50" s="1141"/>
      <c r="H50" s="1141"/>
      <c r="I50" s="1141"/>
      <c r="J50" s="1141"/>
      <c r="K50" s="1135"/>
      <c r="L50" s="1141"/>
      <c r="M50" s="1141"/>
      <c r="N50" s="1141"/>
      <c r="O50" s="1141"/>
      <c r="P50" s="1141"/>
      <c r="Q50" s="1141"/>
      <c r="R50" s="1141"/>
      <c r="S50" s="1141"/>
      <c r="T50" s="1141"/>
      <c r="U50" s="1135"/>
      <c r="V50" s="1141"/>
      <c r="W50" s="1141"/>
      <c r="X50" s="1141"/>
      <c r="Y50" s="1141"/>
      <c r="Z50" s="1141"/>
      <c r="AA50" s="1141"/>
      <c r="AB50" s="1141"/>
      <c r="AC50" s="1141"/>
      <c r="AD50" s="1141"/>
      <c r="AE50" s="1135"/>
      <c r="AF50" s="1141"/>
      <c r="AG50" s="1135"/>
      <c r="AH50" s="1141"/>
      <c r="AI50" s="1141"/>
      <c r="AJ50" s="1142"/>
      <c r="AK50" s="1137">
        <f t="shared" si="2"/>
        <v>0</v>
      </c>
      <c r="AL50" s="1137">
        <f t="shared" si="2"/>
        <v>0</v>
      </c>
    </row>
    <row r="51" spans="1:38" hidden="1" outlineLevel="2" x14ac:dyDescent="0.3">
      <c r="A51" s="1130"/>
      <c r="B51" s="1138"/>
      <c r="C51" s="1139"/>
      <c r="D51" s="1140"/>
      <c r="E51" s="1134"/>
      <c r="F51" s="1141"/>
      <c r="G51" s="1141"/>
      <c r="H51" s="1141"/>
      <c r="I51" s="1141"/>
      <c r="J51" s="1141"/>
      <c r="K51" s="1135"/>
      <c r="L51" s="1141"/>
      <c r="M51" s="1141"/>
      <c r="N51" s="1141"/>
      <c r="O51" s="1141"/>
      <c r="P51" s="1141"/>
      <c r="Q51" s="1141"/>
      <c r="R51" s="1141"/>
      <c r="S51" s="1141"/>
      <c r="T51" s="1141"/>
      <c r="U51" s="1135"/>
      <c r="V51" s="1141"/>
      <c r="W51" s="1141"/>
      <c r="X51" s="1141"/>
      <c r="Y51" s="1141"/>
      <c r="Z51" s="1141"/>
      <c r="AA51" s="1141"/>
      <c r="AB51" s="1141"/>
      <c r="AC51" s="1141"/>
      <c r="AD51" s="1141"/>
      <c r="AE51" s="1135"/>
      <c r="AF51" s="1141"/>
      <c r="AG51" s="1135"/>
      <c r="AH51" s="1141"/>
      <c r="AI51" s="1141"/>
      <c r="AJ51" s="1142"/>
      <c r="AK51" s="1137">
        <f t="shared" si="2"/>
        <v>0</v>
      </c>
      <c r="AL51" s="1137">
        <f t="shared" si="2"/>
        <v>0</v>
      </c>
    </row>
    <row r="52" spans="1:38" hidden="1" outlineLevel="2" x14ac:dyDescent="0.3">
      <c r="A52" s="1130"/>
      <c r="B52" s="1138"/>
      <c r="C52" s="1139"/>
      <c r="D52" s="1140"/>
      <c r="E52" s="1134"/>
      <c r="F52" s="1141"/>
      <c r="G52" s="1141"/>
      <c r="H52" s="1141"/>
      <c r="I52" s="1141"/>
      <c r="J52" s="1141"/>
      <c r="K52" s="1135"/>
      <c r="L52" s="1141"/>
      <c r="M52" s="1141"/>
      <c r="N52" s="1141"/>
      <c r="O52" s="1141"/>
      <c r="P52" s="1141"/>
      <c r="Q52" s="1141"/>
      <c r="R52" s="1141"/>
      <c r="S52" s="1141"/>
      <c r="T52" s="1141"/>
      <c r="U52" s="1135"/>
      <c r="V52" s="1141"/>
      <c r="W52" s="1141"/>
      <c r="X52" s="1141"/>
      <c r="Y52" s="1141"/>
      <c r="Z52" s="1141"/>
      <c r="AA52" s="1141"/>
      <c r="AB52" s="1141"/>
      <c r="AC52" s="1141"/>
      <c r="AD52" s="1141"/>
      <c r="AE52" s="1135"/>
      <c r="AF52" s="1141"/>
      <c r="AG52" s="1135"/>
      <c r="AH52" s="1141"/>
      <c r="AI52" s="1141"/>
      <c r="AJ52" s="1142"/>
      <c r="AK52" s="1137">
        <f t="shared" si="2"/>
        <v>0</v>
      </c>
      <c r="AL52" s="1137">
        <f t="shared" si="2"/>
        <v>0</v>
      </c>
    </row>
    <row r="53" spans="1:38" hidden="1" outlineLevel="2" x14ac:dyDescent="0.3">
      <c r="A53" s="1130"/>
      <c r="B53" s="1138"/>
      <c r="C53" s="1139"/>
      <c r="D53" s="1140"/>
      <c r="E53" s="1134"/>
      <c r="F53" s="1141"/>
      <c r="G53" s="1141"/>
      <c r="H53" s="1141"/>
      <c r="I53" s="1141"/>
      <c r="J53" s="1141"/>
      <c r="K53" s="1135"/>
      <c r="L53" s="1141"/>
      <c r="M53" s="1141"/>
      <c r="N53" s="1141"/>
      <c r="O53" s="1141"/>
      <c r="P53" s="1141"/>
      <c r="Q53" s="1141"/>
      <c r="R53" s="1141"/>
      <c r="S53" s="1141"/>
      <c r="T53" s="1141"/>
      <c r="U53" s="1135"/>
      <c r="V53" s="1141"/>
      <c r="W53" s="1141"/>
      <c r="X53" s="1141"/>
      <c r="Y53" s="1141"/>
      <c r="Z53" s="1141"/>
      <c r="AA53" s="1141"/>
      <c r="AB53" s="1141"/>
      <c r="AC53" s="1141"/>
      <c r="AD53" s="1141"/>
      <c r="AE53" s="1135"/>
      <c r="AF53" s="1141"/>
      <c r="AG53" s="1135"/>
      <c r="AH53" s="1141"/>
      <c r="AI53" s="1141"/>
      <c r="AJ53" s="1142"/>
      <c r="AK53" s="1137">
        <f t="shared" si="2"/>
        <v>0</v>
      </c>
      <c r="AL53" s="1137">
        <f t="shared" si="2"/>
        <v>0</v>
      </c>
    </row>
    <row r="54" spans="1:38" hidden="1" outlineLevel="2" x14ac:dyDescent="0.3">
      <c r="A54" s="1130"/>
      <c r="B54" s="1138"/>
      <c r="C54" s="1139"/>
      <c r="D54" s="1140"/>
      <c r="E54" s="1134"/>
      <c r="F54" s="1141"/>
      <c r="G54" s="1141"/>
      <c r="H54" s="1141"/>
      <c r="I54" s="1141"/>
      <c r="J54" s="1141"/>
      <c r="K54" s="1135"/>
      <c r="L54" s="1141"/>
      <c r="M54" s="1141"/>
      <c r="N54" s="1141"/>
      <c r="O54" s="1141"/>
      <c r="P54" s="1141"/>
      <c r="Q54" s="1141"/>
      <c r="R54" s="1141"/>
      <c r="S54" s="1141"/>
      <c r="T54" s="1141"/>
      <c r="U54" s="1135"/>
      <c r="V54" s="1141"/>
      <c r="W54" s="1141"/>
      <c r="X54" s="1141"/>
      <c r="Y54" s="1141"/>
      <c r="Z54" s="1141"/>
      <c r="AA54" s="1141"/>
      <c r="AB54" s="1141"/>
      <c r="AC54" s="1141"/>
      <c r="AD54" s="1141"/>
      <c r="AE54" s="1135"/>
      <c r="AF54" s="1141"/>
      <c r="AG54" s="1135"/>
      <c r="AH54" s="1141"/>
      <c r="AI54" s="1141"/>
      <c r="AJ54" s="1142"/>
      <c r="AK54" s="1137">
        <f t="shared" si="2"/>
        <v>0</v>
      </c>
      <c r="AL54" s="1137">
        <f t="shared" si="2"/>
        <v>0</v>
      </c>
    </row>
    <row r="55" spans="1:38" hidden="1" outlineLevel="2" x14ac:dyDescent="0.3">
      <c r="A55" s="1130"/>
      <c r="B55" s="1138"/>
      <c r="C55" s="1139"/>
      <c r="D55" s="1140"/>
      <c r="E55" s="1134"/>
      <c r="F55" s="1141"/>
      <c r="G55" s="1141"/>
      <c r="H55" s="1141"/>
      <c r="I55" s="1141"/>
      <c r="J55" s="1141"/>
      <c r="K55" s="1135"/>
      <c r="L55" s="1141"/>
      <c r="M55" s="1141"/>
      <c r="N55" s="1141"/>
      <c r="O55" s="1141"/>
      <c r="P55" s="1141"/>
      <c r="Q55" s="1141"/>
      <c r="R55" s="1141"/>
      <c r="S55" s="1141"/>
      <c r="T55" s="1141"/>
      <c r="U55" s="1135"/>
      <c r="V55" s="1141"/>
      <c r="W55" s="1141"/>
      <c r="X55" s="1141"/>
      <c r="Y55" s="1141"/>
      <c r="Z55" s="1141"/>
      <c r="AA55" s="1141"/>
      <c r="AB55" s="1141"/>
      <c r="AC55" s="1141"/>
      <c r="AD55" s="1141"/>
      <c r="AE55" s="1135"/>
      <c r="AF55" s="1141"/>
      <c r="AG55" s="1135"/>
      <c r="AH55" s="1141"/>
      <c r="AI55" s="1141"/>
      <c r="AJ55" s="1142"/>
      <c r="AK55" s="1137">
        <f t="shared" si="2"/>
        <v>0</v>
      </c>
      <c r="AL55" s="1137">
        <f t="shared" si="2"/>
        <v>0</v>
      </c>
    </row>
    <row r="56" spans="1:38" hidden="1" outlineLevel="2" x14ac:dyDescent="0.3">
      <c r="A56" s="1130"/>
      <c r="B56" s="1138"/>
      <c r="C56" s="1139"/>
      <c r="D56" s="1140"/>
      <c r="E56" s="1134"/>
      <c r="F56" s="1141"/>
      <c r="G56" s="1141"/>
      <c r="H56" s="1141"/>
      <c r="I56" s="1141"/>
      <c r="J56" s="1141"/>
      <c r="K56" s="1135"/>
      <c r="L56" s="1141"/>
      <c r="M56" s="1141"/>
      <c r="N56" s="1141"/>
      <c r="O56" s="1141"/>
      <c r="P56" s="1141"/>
      <c r="Q56" s="1141"/>
      <c r="R56" s="1141"/>
      <c r="S56" s="1141"/>
      <c r="T56" s="1141"/>
      <c r="U56" s="1135"/>
      <c r="V56" s="1141"/>
      <c r="W56" s="1141"/>
      <c r="X56" s="1141"/>
      <c r="Y56" s="1141"/>
      <c r="Z56" s="1141"/>
      <c r="AA56" s="1141"/>
      <c r="AB56" s="1141"/>
      <c r="AC56" s="1141"/>
      <c r="AD56" s="1141"/>
      <c r="AE56" s="1135"/>
      <c r="AF56" s="1141"/>
      <c r="AG56" s="1135"/>
      <c r="AH56" s="1141"/>
      <c r="AI56" s="1141"/>
      <c r="AJ56" s="1142"/>
      <c r="AK56" s="1137">
        <f t="shared" si="2"/>
        <v>0</v>
      </c>
      <c r="AL56" s="1137">
        <f t="shared" si="2"/>
        <v>0</v>
      </c>
    </row>
    <row r="57" spans="1:38" hidden="1" outlineLevel="2" x14ac:dyDescent="0.3">
      <c r="A57" s="1130"/>
      <c r="B57" s="1138"/>
      <c r="C57" s="1139"/>
      <c r="D57" s="1140"/>
      <c r="E57" s="1134"/>
      <c r="F57" s="1141"/>
      <c r="G57" s="1141"/>
      <c r="H57" s="1141"/>
      <c r="I57" s="1141"/>
      <c r="J57" s="1141"/>
      <c r="K57" s="1135"/>
      <c r="L57" s="1141"/>
      <c r="M57" s="1141"/>
      <c r="N57" s="1141"/>
      <c r="O57" s="1141"/>
      <c r="P57" s="1141"/>
      <c r="Q57" s="1141"/>
      <c r="R57" s="1141"/>
      <c r="S57" s="1141"/>
      <c r="T57" s="1141"/>
      <c r="U57" s="1135"/>
      <c r="V57" s="1141"/>
      <c r="W57" s="1141"/>
      <c r="X57" s="1141"/>
      <c r="Y57" s="1141"/>
      <c r="Z57" s="1141"/>
      <c r="AA57" s="1141"/>
      <c r="AB57" s="1141"/>
      <c r="AC57" s="1141"/>
      <c r="AD57" s="1141"/>
      <c r="AE57" s="1135"/>
      <c r="AF57" s="1141"/>
      <c r="AG57" s="1135"/>
      <c r="AH57" s="1141"/>
      <c r="AI57" s="1141"/>
      <c r="AJ57" s="1142"/>
      <c r="AK57" s="1137">
        <f t="shared" si="2"/>
        <v>0</v>
      </c>
      <c r="AL57" s="1137">
        <f t="shared" si="2"/>
        <v>0</v>
      </c>
    </row>
    <row r="58" spans="1:38" hidden="1" outlineLevel="2" x14ac:dyDescent="0.3">
      <c r="A58" s="1130"/>
      <c r="B58" s="1138"/>
      <c r="C58" s="1139"/>
      <c r="D58" s="1140"/>
      <c r="E58" s="1134"/>
      <c r="F58" s="1141"/>
      <c r="G58" s="1141"/>
      <c r="H58" s="1141"/>
      <c r="I58" s="1141"/>
      <c r="J58" s="1141"/>
      <c r="K58" s="1135"/>
      <c r="L58" s="1141"/>
      <c r="M58" s="1141"/>
      <c r="N58" s="1141"/>
      <c r="O58" s="1141"/>
      <c r="P58" s="1141"/>
      <c r="Q58" s="1141"/>
      <c r="R58" s="1141"/>
      <c r="S58" s="1141"/>
      <c r="T58" s="1141"/>
      <c r="U58" s="1135"/>
      <c r="V58" s="1141"/>
      <c r="W58" s="1141"/>
      <c r="X58" s="1141"/>
      <c r="Y58" s="1141"/>
      <c r="Z58" s="1141"/>
      <c r="AA58" s="1141"/>
      <c r="AB58" s="1141"/>
      <c r="AC58" s="1141"/>
      <c r="AD58" s="1141"/>
      <c r="AE58" s="1135"/>
      <c r="AF58" s="1141"/>
      <c r="AG58" s="1135"/>
      <c r="AH58" s="1141"/>
      <c r="AI58" s="1141"/>
      <c r="AJ58" s="1142"/>
      <c r="AK58" s="1137">
        <f t="shared" si="2"/>
        <v>0</v>
      </c>
      <c r="AL58" s="1137">
        <f t="shared" si="2"/>
        <v>0</v>
      </c>
    </row>
    <row r="59" spans="1:38" hidden="1" outlineLevel="2" x14ac:dyDescent="0.3">
      <c r="A59" s="1130"/>
      <c r="B59" s="1138"/>
      <c r="C59" s="1139"/>
      <c r="D59" s="1140"/>
      <c r="E59" s="1134"/>
      <c r="F59" s="1141"/>
      <c r="G59" s="1141"/>
      <c r="H59" s="1141"/>
      <c r="I59" s="1141"/>
      <c r="J59" s="1141"/>
      <c r="K59" s="1135"/>
      <c r="L59" s="1141"/>
      <c r="M59" s="1141"/>
      <c r="N59" s="1141"/>
      <c r="O59" s="1141"/>
      <c r="P59" s="1141"/>
      <c r="Q59" s="1141"/>
      <c r="R59" s="1141"/>
      <c r="S59" s="1141"/>
      <c r="T59" s="1141"/>
      <c r="U59" s="1135"/>
      <c r="V59" s="1141"/>
      <c r="W59" s="1141"/>
      <c r="X59" s="1141"/>
      <c r="Y59" s="1141"/>
      <c r="Z59" s="1141"/>
      <c r="AA59" s="1141"/>
      <c r="AB59" s="1141"/>
      <c r="AC59" s="1141"/>
      <c r="AD59" s="1141"/>
      <c r="AE59" s="1135"/>
      <c r="AF59" s="1141"/>
      <c r="AG59" s="1135"/>
      <c r="AH59" s="1141"/>
      <c r="AI59" s="1141"/>
      <c r="AJ59" s="1142"/>
      <c r="AK59" s="1137">
        <f t="shared" si="2"/>
        <v>0</v>
      </c>
      <c r="AL59" s="1137">
        <f t="shared" si="2"/>
        <v>0</v>
      </c>
    </row>
    <row r="60" spans="1:38" hidden="1" outlineLevel="2" x14ac:dyDescent="0.3">
      <c r="A60" s="1130"/>
      <c r="B60" s="1138"/>
      <c r="C60" s="1139"/>
      <c r="D60" s="1140"/>
      <c r="E60" s="1134"/>
      <c r="F60" s="1141"/>
      <c r="G60" s="1141"/>
      <c r="H60" s="1141"/>
      <c r="I60" s="1141"/>
      <c r="J60" s="1141"/>
      <c r="K60" s="1135"/>
      <c r="L60" s="1141"/>
      <c r="M60" s="1141"/>
      <c r="N60" s="1141"/>
      <c r="O60" s="1141"/>
      <c r="P60" s="1141"/>
      <c r="Q60" s="1141"/>
      <c r="R60" s="1141"/>
      <c r="S60" s="1141"/>
      <c r="T60" s="1141"/>
      <c r="U60" s="1135"/>
      <c r="V60" s="1141"/>
      <c r="W60" s="1141"/>
      <c r="X60" s="1141"/>
      <c r="Y60" s="1141"/>
      <c r="Z60" s="1141"/>
      <c r="AA60" s="1141"/>
      <c r="AB60" s="1141"/>
      <c r="AC60" s="1141"/>
      <c r="AD60" s="1141"/>
      <c r="AE60" s="1135"/>
      <c r="AF60" s="1141"/>
      <c r="AG60" s="1135"/>
      <c r="AH60" s="1141"/>
      <c r="AI60" s="1141"/>
      <c r="AJ60" s="1142"/>
      <c r="AK60" s="1137">
        <f t="shared" si="2"/>
        <v>0</v>
      </c>
      <c r="AL60" s="1137">
        <f t="shared" si="2"/>
        <v>0</v>
      </c>
    </row>
    <row r="61" spans="1:38" hidden="1" outlineLevel="2" x14ac:dyDescent="0.3">
      <c r="A61" s="1130"/>
      <c r="B61" s="1138"/>
      <c r="C61" s="1139"/>
      <c r="D61" s="1140"/>
      <c r="E61" s="1134"/>
      <c r="F61" s="1141"/>
      <c r="G61" s="1141"/>
      <c r="H61" s="1141"/>
      <c r="I61" s="1141"/>
      <c r="J61" s="1141"/>
      <c r="K61" s="1135"/>
      <c r="L61" s="1141"/>
      <c r="M61" s="1141"/>
      <c r="N61" s="1141"/>
      <c r="O61" s="1141"/>
      <c r="P61" s="1141"/>
      <c r="Q61" s="1141"/>
      <c r="R61" s="1141"/>
      <c r="S61" s="1141"/>
      <c r="T61" s="1141"/>
      <c r="U61" s="1135"/>
      <c r="V61" s="1141"/>
      <c r="W61" s="1141"/>
      <c r="X61" s="1141"/>
      <c r="Y61" s="1141"/>
      <c r="Z61" s="1141"/>
      <c r="AA61" s="1141"/>
      <c r="AB61" s="1141"/>
      <c r="AC61" s="1141"/>
      <c r="AD61" s="1141"/>
      <c r="AE61" s="1135"/>
      <c r="AF61" s="1141"/>
      <c r="AG61" s="1135"/>
      <c r="AH61" s="1141"/>
      <c r="AI61" s="1141"/>
      <c r="AJ61" s="1142"/>
      <c r="AK61" s="1137">
        <f t="shared" si="2"/>
        <v>0</v>
      </c>
      <c r="AL61" s="1137">
        <f t="shared" si="2"/>
        <v>0</v>
      </c>
    </row>
    <row r="62" spans="1:38" hidden="1" outlineLevel="2" x14ac:dyDescent="0.3">
      <c r="A62" s="1130"/>
      <c r="B62" s="1138"/>
      <c r="C62" s="1139"/>
      <c r="D62" s="1140"/>
      <c r="E62" s="1134"/>
      <c r="F62" s="1141"/>
      <c r="G62" s="1141"/>
      <c r="H62" s="1141"/>
      <c r="I62" s="1141"/>
      <c r="J62" s="1141"/>
      <c r="K62" s="1135"/>
      <c r="L62" s="1141"/>
      <c r="M62" s="1141"/>
      <c r="N62" s="1141"/>
      <c r="O62" s="1141"/>
      <c r="P62" s="1141"/>
      <c r="Q62" s="1141"/>
      <c r="R62" s="1141"/>
      <c r="S62" s="1141"/>
      <c r="T62" s="1141"/>
      <c r="U62" s="1135"/>
      <c r="V62" s="1141"/>
      <c r="W62" s="1141"/>
      <c r="X62" s="1141"/>
      <c r="Y62" s="1141"/>
      <c r="Z62" s="1141"/>
      <c r="AA62" s="1141"/>
      <c r="AB62" s="1141"/>
      <c r="AC62" s="1141"/>
      <c r="AD62" s="1141"/>
      <c r="AE62" s="1135"/>
      <c r="AF62" s="1141"/>
      <c r="AG62" s="1135"/>
      <c r="AH62" s="1141"/>
      <c r="AI62" s="1141"/>
      <c r="AJ62" s="1142"/>
      <c r="AK62" s="1137">
        <f t="shared" si="2"/>
        <v>0</v>
      </c>
      <c r="AL62" s="1137">
        <f t="shared" si="2"/>
        <v>0</v>
      </c>
    </row>
    <row r="63" spans="1:38" hidden="1" outlineLevel="2" x14ac:dyDescent="0.3">
      <c r="A63" s="1130"/>
      <c r="B63" s="1138"/>
      <c r="C63" s="1139"/>
      <c r="D63" s="1140"/>
      <c r="E63" s="1134"/>
      <c r="F63" s="1141"/>
      <c r="G63" s="1141"/>
      <c r="H63" s="1141"/>
      <c r="I63" s="1141"/>
      <c r="J63" s="1141"/>
      <c r="K63" s="1135"/>
      <c r="L63" s="1141"/>
      <c r="M63" s="1141"/>
      <c r="N63" s="1141"/>
      <c r="O63" s="1141"/>
      <c r="P63" s="1141"/>
      <c r="Q63" s="1141"/>
      <c r="R63" s="1141"/>
      <c r="S63" s="1141"/>
      <c r="T63" s="1141"/>
      <c r="U63" s="1135"/>
      <c r="V63" s="1141"/>
      <c r="W63" s="1141"/>
      <c r="X63" s="1141"/>
      <c r="Y63" s="1141"/>
      <c r="Z63" s="1141"/>
      <c r="AA63" s="1141"/>
      <c r="AB63" s="1141"/>
      <c r="AC63" s="1141"/>
      <c r="AD63" s="1141"/>
      <c r="AE63" s="1135"/>
      <c r="AF63" s="1141"/>
      <c r="AG63" s="1135"/>
      <c r="AH63" s="1141"/>
      <c r="AI63" s="1141"/>
      <c r="AJ63" s="1142"/>
      <c r="AK63" s="1137">
        <f t="shared" si="2"/>
        <v>0</v>
      </c>
      <c r="AL63" s="1137">
        <f t="shared" si="2"/>
        <v>0</v>
      </c>
    </row>
    <row r="64" spans="1:38" hidden="1" outlineLevel="2" x14ac:dyDescent="0.3">
      <c r="A64" s="1130"/>
      <c r="B64" s="1138"/>
      <c r="C64" s="1139"/>
      <c r="D64" s="1140"/>
      <c r="E64" s="1134"/>
      <c r="F64" s="1141"/>
      <c r="G64" s="1141"/>
      <c r="H64" s="1141"/>
      <c r="I64" s="1141"/>
      <c r="J64" s="1141"/>
      <c r="K64" s="1135"/>
      <c r="L64" s="1141"/>
      <c r="M64" s="1141"/>
      <c r="N64" s="1141"/>
      <c r="O64" s="1141"/>
      <c r="P64" s="1141"/>
      <c r="Q64" s="1141"/>
      <c r="R64" s="1141"/>
      <c r="S64" s="1141"/>
      <c r="T64" s="1141"/>
      <c r="U64" s="1135"/>
      <c r="V64" s="1141"/>
      <c r="W64" s="1141"/>
      <c r="X64" s="1141"/>
      <c r="Y64" s="1141"/>
      <c r="Z64" s="1141"/>
      <c r="AA64" s="1141"/>
      <c r="AB64" s="1141"/>
      <c r="AC64" s="1141"/>
      <c r="AD64" s="1141"/>
      <c r="AE64" s="1135"/>
      <c r="AF64" s="1141"/>
      <c r="AG64" s="1135"/>
      <c r="AH64" s="1141"/>
      <c r="AI64" s="1141"/>
      <c r="AJ64" s="1142"/>
      <c r="AK64" s="1137">
        <f t="shared" si="2"/>
        <v>0</v>
      </c>
      <c r="AL64" s="1137">
        <f t="shared" si="2"/>
        <v>0</v>
      </c>
    </row>
    <row r="65" spans="1:38" hidden="1" outlineLevel="2" x14ac:dyDescent="0.3">
      <c r="A65" s="1130"/>
      <c r="B65" s="1138"/>
      <c r="C65" s="1139"/>
      <c r="D65" s="1140"/>
      <c r="E65" s="1134"/>
      <c r="F65" s="1141"/>
      <c r="G65" s="1141"/>
      <c r="H65" s="1141"/>
      <c r="I65" s="1141"/>
      <c r="J65" s="1141"/>
      <c r="K65" s="1135"/>
      <c r="L65" s="1141"/>
      <c r="M65" s="1141"/>
      <c r="N65" s="1141"/>
      <c r="O65" s="1141"/>
      <c r="P65" s="1141"/>
      <c r="Q65" s="1141"/>
      <c r="R65" s="1141"/>
      <c r="S65" s="1141"/>
      <c r="T65" s="1141"/>
      <c r="U65" s="1135"/>
      <c r="V65" s="1141"/>
      <c r="W65" s="1141"/>
      <c r="X65" s="1141"/>
      <c r="Y65" s="1141"/>
      <c r="Z65" s="1141"/>
      <c r="AA65" s="1141"/>
      <c r="AB65" s="1141"/>
      <c r="AC65" s="1141"/>
      <c r="AD65" s="1141"/>
      <c r="AE65" s="1135"/>
      <c r="AF65" s="1141"/>
      <c r="AG65" s="1135"/>
      <c r="AH65" s="1141"/>
      <c r="AI65" s="1141"/>
      <c r="AJ65" s="1142"/>
      <c r="AK65" s="1137">
        <f t="shared" si="2"/>
        <v>0</v>
      </c>
      <c r="AL65" s="1137">
        <f t="shared" si="2"/>
        <v>0</v>
      </c>
    </row>
    <row r="66" spans="1:38" hidden="1" outlineLevel="2" x14ac:dyDescent="0.3">
      <c r="A66" s="1130"/>
      <c r="B66" s="1138"/>
      <c r="C66" s="1139"/>
      <c r="D66" s="1140"/>
      <c r="E66" s="1134"/>
      <c r="F66" s="1141"/>
      <c r="G66" s="1141"/>
      <c r="H66" s="1141"/>
      <c r="I66" s="1141"/>
      <c r="J66" s="1141"/>
      <c r="K66" s="1135"/>
      <c r="L66" s="1141"/>
      <c r="M66" s="1141"/>
      <c r="N66" s="1141"/>
      <c r="O66" s="1141"/>
      <c r="P66" s="1141"/>
      <c r="Q66" s="1141"/>
      <c r="R66" s="1141"/>
      <c r="S66" s="1141"/>
      <c r="T66" s="1141"/>
      <c r="U66" s="1135"/>
      <c r="V66" s="1141"/>
      <c r="W66" s="1141"/>
      <c r="X66" s="1141"/>
      <c r="Y66" s="1141"/>
      <c r="Z66" s="1141"/>
      <c r="AA66" s="1141"/>
      <c r="AB66" s="1141"/>
      <c r="AC66" s="1141"/>
      <c r="AD66" s="1141"/>
      <c r="AE66" s="1135"/>
      <c r="AF66" s="1141"/>
      <c r="AG66" s="1135"/>
      <c r="AH66" s="1141"/>
      <c r="AI66" s="1141"/>
      <c r="AJ66" s="1142"/>
      <c r="AK66" s="1137">
        <f t="shared" si="2"/>
        <v>0</v>
      </c>
      <c r="AL66" s="1137">
        <f t="shared" si="2"/>
        <v>0</v>
      </c>
    </row>
    <row r="67" spans="1:38" hidden="1" outlineLevel="2" x14ac:dyDescent="0.3">
      <c r="A67" s="1130"/>
      <c r="B67" s="1138"/>
      <c r="C67" s="1139"/>
      <c r="D67" s="1140"/>
      <c r="E67" s="1134"/>
      <c r="F67" s="1141"/>
      <c r="G67" s="1141"/>
      <c r="H67" s="1141"/>
      <c r="I67" s="1141"/>
      <c r="J67" s="1141"/>
      <c r="K67" s="1135"/>
      <c r="L67" s="1141"/>
      <c r="M67" s="1141"/>
      <c r="N67" s="1141"/>
      <c r="O67" s="1141"/>
      <c r="P67" s="1141"/>
      <c r="Q67" s="1141"/>
      <c r="R67" s="1141"/>
      <c r="S67" s="1141"/>
      <c r="T67" s="1141"/>
      <c r="U67" s="1135"/>
      <c r="V67" s="1141"/>
      <c r="W67" s="1141"/>
      <c r="X67" s="1141"/>
      <c r="Y67" s="1141"/>
      <c r="Z67" s="1141"/>
      <c r="AA67" s="1141"/>
      <c r="AB67" s="1141"/>
      <c r="AC67" s="1141"/>
      <c r="AD67" s="1141"/>
      <c r="AE67" s="1135"/>
      <c r="AF67" s="1141"/>
      <c r="AG67" s="1135"/>
      <c r="AH67" s="1141"/>
      <c r="AI67" s="1141"/>
      <c r="AJ67" s="1142"/>
      <c r="AK67" s="1137">
        <f t="shared" si="2"/>
        <v>0</v>
      </c>
      <c r="AL67" s="1137">
        <f t="shared" si="2"/>
        <v>0</v>
      </c>
    </row>
    <row r="68" spans="1:38" hidden="1" outlineLevel="2" x14ac:dyDescent="0.3">
      <c r="A68" s="1130"/>
      <c r="B68" s="1138"/>
      <c r="C68" s="1139"/>
      <c r="D68" s="1140"/>
      <c r="E68" s="1134"/>
      <c r="F68" s="1141"/>
      <c r="G68" s="1141"/>
      <c r="H68" s="1141"/>
      <c r="I68" s="1141"/>
      <c r="J68" s="1141"/>
      <c r="K68" s="1135"/>
      <c r="L68" s="1141"/>
      <c r="M68" s="1141"/>
      <c r="N68" s="1141"/>
      <c r="O68" s="1141"/>
      <c r="P68" s="1141"/>
      <c r="Q68" s="1141"/>
      <c r="R68" s="1141"/>
      <c r="S68" s="1141"/>
      <c r="T68" s="1141"/>
      <c r="U68" s="1135"/>
      <c r="V68" s="1141"/>
      <c r="W68" s="1141"/>
      <c r="X68" s="1141"/>
      <c r="Y68" s="1141"/>
      <c r="Z68" s="1141"/>
      <c r="AA68" s="1141"/>
      <c r="AB68" s="1141"/>
      <c r="AC68" s="1141"/>
      <c r="AD68" s="1141"/>
      <c r="AE68" s="1135"/>
      <c r="AF68" s="1141"/>
      <c r="AG68" s="1135"/>
      <c r="AH68" s="1141"/>
      <c r="AI68" s="1141"/>
      <c r="AJ68" s="1142"/>
      <c r="AK68" s="1137">
        <f t="shared" si="2"/>
        <v>0</v>
      </c>
      <c r="AL68" s="1137">
        <f t="shared" si="2"/>
        <v>0</v>
      </c>
    </row>
    <row r="69" spans="1:38" hidden="1" outlineLevel="2" x14ac:dyDescent="0.3">
      <c r="A69" s="1130"/>
      <c r="B69" s="1138"/>
      <c r="C69" s="1139"/>
      <c r="D69" s="1140"/>
      <c r="E69" s="1134"/>
      <c r="F69" s="1141"/>
      <c r="G69" s="1141"/>
      <c r="H69" s="1141"/>
      <c r="I69" s="1141"/>
      <c r="J69" s="1141"/>
      <c r="K69" s="1135"/>
      <c r="L69" s="1141"/>
      <c r="M69" s="1141"/>
      <c r="N69" s="1141"/>
      <c r="O69" s="1141"/>
      <c r="P69" s="1141"/>
      <c r="Q69" s="1141"/>
      <c r="R69" s="1141"/>
      <c r="S69" s="1141"/>
      <c r="T69" s="1141"/>
      <c r="U69" s="1135"/>
      <c r="V69" s="1141"/>
      <c r="W69" s="1141"/>
      <c r="X69" s="1141"/>
      <c r="Y69" s="1141"/>
      <c r="Z69" s="1141"/>
      <c r="AA69" s="1141"/>
      <c r="AB69" s="1141"/>
      <c r="AC69" s="1141"/>
      <c r="AD69" s="1141"/>
      <c r="AE69" s="1135"/>
      <c r="AF69" s="1141"/>
      <c r="AG69" s="1135"/>
      <c r="AH69" s="1141"/>
      <c r="AI69" s="1141"/>
      <c r="AJ69" s="1142"/>
      <c r="AK69" s="1137">
        <f t="shared" si="2"/>
        <v>0</v>
      </c>
      <c r="AL69" s="1137">
        <f t="shared" si="2"/>
        <v>0</v>
      </c>
    </row>
    <row r="70" spans="1:38" hidden="1" outlineLevel="2" x14ac:dyDescent="0.3">
      <c r="A70" s="1130"/>
      <c r="B70" s="1138"/>
      <c r="C70" s="1139"/>
      <c r="D70" s="1140"/>
      <c r="E70" s="1134"/>
      <c r="F70" s="1141"/>
      <c r="G70" s="1141"/>
      <c r="H70" s="1141"/>
      <c r="I70" s="1141"/>
      <c r="J70" s="1141"/>
      <c r="K70" s="1135"/>
      <c r="L70" s="1141"/>
      <c r="M70" s="1141"/>
      <c r="N70" s="1141"/>
      <c r="O70" s="1141"/>
      <c r="P70" s="1141"/>
      <c r="Q70" s="1141"/>
      <c r="R70" s="1141"/>
      <c r="S70" s="1141"/>
      <c r="T70" s="1141"/>
      <c r="U70" s="1135"/>
      <c r="V70" s="1141"/>
      <c r="W70" s="1141"/>
      <c r="X70" s="1141"/>
      <c r="Y70" s="1141"/>
      <c r="Z70" s="1141"/>
      <c r="AA70" s="1141"/>
      <c r="AB70" s="1141"/>
      <c r="AC70" s="1141"/>
      <c r="AD70" s="1141"/>
      <c r="AE70" s="1135"/>
      <c r="AF70" s="1141"/>
      <c r="AG70" s="1135"/>
      <c r="AH70" s="1141"/>
      <c r="AI70" s="1141"/>
      <c r="AJ70" s="1142"/>
      <c r="AK70" s="1137">
        <f t="shared" ref="AK70:AL87" si="3">SUM(E70,G70,I70)-SUM(K70,M70,O70,Q70,S70,U70,W70,Y70,AA70,AC70,AE70,AG70,AI70)</f>
        <v>0</v>
      </c>
      <c r="AL70" s="1137">
        <f t="shared" si="3"/>
        <v>0</v>
      </c>
    </row>
    <row r="71" spans="1:38" hidden="1" outlineLevel="2" x14ac:dyDescent="0.3">
      <c r="A71" s="1130"/>
      <c r="B71" s="1138"/>
      <c r="C71" s="1139"/>
      <c r="D71" s="1140"/>
      <c r="E71" s="1134"/>
      <c r="F71" s="1141"/>
      <c r="G71" s="1141"/>
      <c r="H71" s="1141"/>
      <c r="I71" s="1141"/>
      <c r="J71" s="1141"/>
      <c r="K71" s="1135"/>
      <c r="L71" s="1141"/>
      <c r="M71" s="1141"/>
      <c r="N71" s="1141"/>
      <c r="O71" s="1141"/>
      <c r="P71" s="1141"/>
      <c r="Q71" s="1141"/>
      <c r="R71" s="1141"/>
      <c r="S71" s="1141"/>
      <c r="T71" s="1141"/>
      <c r="U71" s="1135"/>
      <c r="V71" s="1141"/>
      <c r="W71" s="1141"/>
      <c r="X71" s="1141"/>
      <c r="Y71" s="1141"/>
      <c r="Z71" s="1141"/>
      <c r="AA71" s="1141"/>
      <c r="AB71" s="1141"/>
      <c r="AC71" s="1141"/>
      <c r="AD71" s="1141"/>
      <c r="AE71" s="1135"/>
      <c r="AF71" s="1141"/>
      <c r="AG71" s="1135"/>
      <c r="AH71" s="1141"/>
      <c r="AI71" s="1141"/>
      <c r="AJ71" s="1142"/>
      <c r="AK71" s="1137">
        <f t="shared" si="3"/>
        <v>0</v>
      </c>
      <c r="AL71" s="1137">
        <f t="shared" si="3"/>
        <v>0</v>
      </c>
    </row>
    <row r="72" spans="1:38" hidden="1" outlineLevel="2" x14ac:dyDescent="0.3">
      <c r="A72" s="1130"/>
      <c r="B72" s="1138"/>
      <c r="C72" s="1139"/>
      <c r="D72" s="1140"/>
      <c r="E72" s="1134"/>
      <c r="F72" s="1141"/>
      <c r="G72" s="1141"/>
      <c r="H72" s="1141"/>
      <c r="I72" s="1141"/>
      <c r="J72" s="1141"/>
      <c r="K72" s="1135"/>
      <c r="L72" s="1141"/>
      <c r="M72" s="1141"/>
      <c r="N72" s="1141"/>
      <c r="O72" s="1141"/>
      <c r="P72" s="1141"/>
      <c r="Q72" s="1141"/>
      <c r="R72" s="1141"/>
      <c r="S72" s="1141"/>
      <c r="T72" s="1141"/>
      <c r="U72" s="1135"/>
      <c r="V72" s="1141"/>
      <c r="W72" s="1141"/>
      <c r="X72" s="1141"/>
      <c r="Y72" s="1141"/>
      <c r="Z72" s="1141"/>
      <c r="AA72" s="1141"/>
      <c r="AB72" s="1141"/>
      <c r="AC72" s="1141"/>
      <c r="AD72" s="1141"/>
      <c r="AE72" s="1135"/>
      <c r="AF72" s="1141"/>
      <c r="AG72" s="1135"/>
      <c r="AH72" s="1141"/>
      <c r="AI72" s="1141"/>
      <c r="AJ72" s="1142"/>
      <c r="AK72" s="1137">
        <f t="shared" si="3"/>
        <v>0</v>
      </c>
      <c r="AL72" s="1137">
        <f t="shared" si="3"/>
        <v>0</v>
      </c>
    </row>
    <row r="73" spans="1:38" hidden="1" outlineLevel="2" x14ac:dyDescent="0.3">
      <c r="A73" s="1130"/>
      <c r="B73" s="1138"/>
      <c r="C73" s="1139"/>
      <c r="D73" s="1140"/>
      <c r="E73" s="1134"/>
      <c r="F73" s="1141"/>
      <c r="G73" s="1141"/>
      <c r="H73" s="1141"/>
      <c r="I73" s="1141"/>
      <c r="J73" s="1141"/>
      <c r="K73" s="1135"/>
      <c r="L73" s="1141"/>
      <c r="M73" s="1141"/>
      <c r="N73" s="1141"/>
      <c r="O73" s="1141"/>
      <c r="P73" s="1141"/>
      <c r="Q73" s="1141"/>
      <c r="R73" s="1141"/>
      <c r="S73" s="1141"/>
      <c r="T73" s="1141"/>
      <c r="U73" s="1135"/>
      <c r="V73" s="1141"/>
      <c r="W73" s="1141"/>
      <c r="X73" s="1141"/>
      <c r="Y73" s="1141"/>
      <c r="Z73" s="1141"/>
      <c r="AA73" s="1141"/>
      <c r="AB73" s="1141"/>
      <c r="AC73" s="1141"/>
      <c r="AD73" s="1141"/>
      <c r="AE73" s="1135"/>
      <c r="AF73" s="1141"/>
      <c r="AG73" s="1135"/>
      <c r="AH73" s="1141"/>
      <c r="AI73" s="1141"/>
      <c r="AJ73" s="1142"/>
      <c r="AK73" s="1137">
        <f t="shared" si="3"/>
        <v>0</v>
      </c>
      <c r="AL73" s="1137">
        <f t="shared" si="3"/>
        <v>0</v>
      </c>
    </row>
    <row r="74" spans="1:38" hidden="1" outlineLevel="2" x14ac:dyDescent="0.3">
      <c r="A74" s="1130"/>
      <c r="B74" s="1138"/>
      <c r="C74" s="1139"/>
      <c r="D74" s="1140"/>
      <c r="E74" s="1134"/>
      <c r="F74" s="1141"/>
      <c r="G74" s="1141"/>
      <c r="H74" s="1141"/>
      <c r="I74" s="1141"/>
      <c r="J74" s="1141"/>
      <c r="K74" s="1135"/>
      <c r="L74" s="1141"/>
      <c r="M74" s="1141"/>
      <c r="N74" s="1141"/>
      <c r="O74" s="1141"/>
      <c r="P74" s="1141"/>
      <c r="Q74" s="1141"/>
      <c r="R74" s="1141"/>
      <c r="S74" s="1141"/>
      <c r="T74" s="1141"/>
      <c r="U74" s="1135"/>
      <c r="V74" s="1141"/>
      <c r="W74" s="1141"/>
      <c r="X74" s="1141"/>
      <c r="Y74" s="1141"/>
      <c r="Z74" s="1141"/>
      <c r="AA74" s="1141"/>
      <c r="AB74" s="1141"/>
      <c r="AC74" s="1141"/>
      <c r="AD74" s="1141"/>
      <c r="AE74" s="1135"/>
      <c r="AF74" s="1141"/>
      <c r="AG74" s="1135"/>
      <c r="AH74" s="1141"/>
      <c r="AI74" s="1141"/>
      <c r="AJ74" s="1142"/>
      <c r="AK74" s="1137">
        <f t="shared" si="3"/>
        <v>0</v>
      </c>
      <c r="AL74" s="1137">
        <f t="shared" si="3"/>
        <v>0</v>
      </c>
    </row>
    <row r="75" spans="1:38" hidden="1" outlineLevel="2" x14ac:dyDescent="0.3">
      <c r="A75" s="1130"/>
      <c r="B75" s="1138"/>
      <c r="C75" s="1139"/>
      <c r="D75" s="1140"/>
      <c r="E75" s="1134"/>
      <c r="F75" s="1141"/>
      <c r="G75" s="1141"/>
      <c r="H75" s="1141"/>
      <c r="I75" s="1141"/>
      <c r="J75" s="1141"/>
      <c r="K75" s="1135"/>
      <c r="L75" s="1141"/>
      <c r="M75" s="1141"/>
      <c r="N75" s="1141"/>
      <c r="O75" s="1141"/>
      <c r="P75" s="1141"/>
      <c r="Q75" s="1141"/>
      <c r="R75" s="1141"/>
      <c r="S75" s="1141"/>
      <c r="T75" s="1141"/>
      <c r="U75" s="1135"/>
      <c r="V75" s="1141"/>
      <c r="W75" s="1141"/>
      <c r="X75" s="1141"/>
      <c r="Y75" s="1141"/>
      <c r="Z75" s="1141"/>
      <c r="AA75" s="1141"/>
      <c r="AB75" s="1141"/>
      <c r="AC75" s="1141"/>
      <c r="AD75" s="1141"/>
      <c r="AE75" s="1135"/>
      <c r="AF75" s="1141"/>
      <c r="AG75" s="1135"/>
      <c r="AH75" s="1141"/>
      <c r="AI75" s="1141"/>
      <c r="AJ75" s="1142"/>
      <c r="AK75" s="1137">
        <f t="shared" si="3"/>
        <v>0</v>
      </c>
      <c r="AL75" s="1137">
        <f t="shared" si="3"/>
        <v>0</v>
      </c>
    </row>
    <row r="76" spans="1:38" hidden="1" outlineLevel="2" x14ac:dyDescent="0.3">
      <c r="A76" s="1130"/>
      <c r="B76" s="1138"/>
      <c r="C76" s="1139"/>
      <c r="D76" s="1140"/>
      <c r="E76" s="1134"/>
      <c r="F76" s="1141"/>
      <c r="G76" s="1141"/>
      <c r="H76" s="1141"/>
      <c r="I76" s="1141"/>
      <c r="J76" s="1141"/>
      <c r="K76" s="1135"/>
      <c r="L76" s="1141"/>
      <c r="M76" s="1141"/>
      <c r="N76" s="1141"/>
      <c r="O76" s="1141"/>
      <c r="P76" s="1141"/>
      <c r="Q76" s="1141"/>
      <c r="R76" s="1141"/>
      <c r="S76" s="1141"/>
      <c r="T76" s="1141"/>
      <c r="U76" s="1135"/>
      <c r="V76" s="1141"/>
      <c r="W76" s="1141"/>
      <c r="X76" s="1141"/>
      <c r="Y76" s="1141"/>
      <c r="Z76" s="1141"/>
      <c r="AA76" s="1141"/>
      <c r="AB76" s="1141"/>
      <c r="AC76" s="1141"/>
      <c r="AD76" s="1141"/>
      <c r="AE76" s="1135"/>
      <c r="AF76" s="1141"/>
      <c r="AG76" s="1135"/>
      <c r="AH76" s="1141"/>
      <c r="AI76" s="1141"/>
      <c r="AJ76" s="1142"/>
      <c r="AK76" s="1137">
        <f t="shared" si="3"/>
        <v>0</v>
      </c>
      <c r="AL76" s="1137">
        <f t="shared" si="3"/>
        <v>0</v>
      </c>
    </row>
    <row r="77" spans="1:38" hidden="1" outlineLevel="2" x14ac:dyDescent="0.3">
      <c r="A77" s="1130"/>
      <c r="B77" s="1138"/>
      <c r="C77" s="1139"/>
      <c r="D77" s="1140"/>
      <c r="E77" s="1134"/>
      <c r="F77" s="1141"/>
      <c r="G77" s="1141"/>
      <c r="H77" s="1141"/>
      <c r="I77" s="1141"/>
      <c r="J77" s="1141"/>
      <c r="K77" s="1135"/>
      <c r="L77" s="1141"/>
      <c r="M77" s="1141"/>
      <c r="N77" s="1141"/>
      <c r="O77" s="1141"/>
      <c r="P77" s="1141"/>
      <c r="Q77" s="1141"/>
      <c r="R77" s="1141"/>
      <c r="S77" s="1141"/>
      <c r="T77" s="1141"/>
      <c r="U77" s="1135"/>
      <c r="V77" s="1141"/>
      <c r="W77" s="1141"/>
      <c r="X77" s="1141"/>
      <c r="Y77" s="1141"/>
      <c r="Z77" s="1141"/>
      <c r="AA77" s="1141"/>
      <c r="AB77" s="1141"/>
      <c r="AC77" s="1141"/>
      <c r="AD77" s="1141"/>
      <c r="AE77" s="1135"/>
      <c r="AF77" s="1141"/>
      <c r="AG77" s="1135"/>
      <c r="AH77" s="1141"/>
      <c r="AI77" s="1141"/>
      <c r="AJ77" s="1142"/>
      <c r="AK77" s="1137">
        <f t="shared" si="3"/>
        <v>0</v>
      </c>
      <c r="AL77" s="1137">
        <f t="shared" si="3"/>
        <v>0</v>
      </c>
    </row>
    <row r="78" spans="1:38" hidden="1" outlineLevel="2" x14ac:dyDescent="0.3">
      <c r="A78" s="1130"/>
      <c r="B78" s="1138"/>
      <c r="C78" s="1139"/>
      <c r="D78" s="1140"/>
      <c r="E78" s="1134"/>
      <c r="F78" s="1141"/>
      <c r="G78" s="1141"/>
      <c r="H78" s="1141"/>
      <c r="I78" s="1141"/>
      <c r="J78" s="1141"/>
      <c r="K78" s="1135"/>
      <c r="L78" s="1141"/>
      <c r="M78" s="1141"/>
      <c r="N78" s="1141"/>
      <c r="O78" s="1141"/>
      <c r="P78" s="1141"/>
      <c r="Q78" s="1141"/>
      <c r="R78" s="1141"/>
      <c r="S78" s="1141"/>
      <c r="T78" s="1141"/>
      <c r="U78" s="1135"/>
      <c r="V78" s="1141"/>
      <c r="W78" s="1141"/>
      <c r="X78" s="1141"/>
      <c r="Y78" s="1141"/>
      <c r="Z78" s="1141"/>
      <c r="AA78" s="1141"/>
      <c r="AB78" s="1141"/>
      <c r="AC78" s="1141"/>
      <c r="AD78" s="1141"/>
      <c r="AE78" s="1135"/>
      <c r="AF78" s="1141"/>
      <c r="AG78" s="1135"/>
      <c r="AH78" s="1141"/>
      <c r="AI78" s="1141"/>
      <c r="AJ78" s="1142"/>
      <c r="AK78" s="1137">
        <f t="shared" si="3"/>
        <v>0</v>
      </c>
      <c r="AL78" s="1137">
        <f t="shared" si="3"/>
        <v>0</v>
      </c>
    </row>
    <row r="79" spans="1:38" hidden="1" outlineLevel="2" x14ac:dyDescent="0.3">
      <c r="A79" s="1130"/>
      <c r="B79" s="1138"/>
      <c r="C79" s="1139"/>
      <c r="D79" s="1140"/>
      <c r="E79" s="1134"/>
      <c r="F79" s="1141"/>
      <c r="G79" s="1141"/>
      <c r="H79" s="1141"/>
      <c r="I79" s="1141"/>
      <c r="J79" s="1141"/>
      <c r="K79" s="1135"/>
      <c r="L79" s="1141"/>
      <c r="M79" s="1141"/>
      <c r="N79" s="1141"/>
      <c r="O79" s="1141"/>
      <c r="P79" s="1141"/>
      <c r="Q79" s="1141"/>
      <c r="R79" s="1141"/>
      <c r="S79" s="1141"/>
      <c r="T79" s="1141"/>
      <c r="U79" s="1135"/>
      <c r="V79" s="1141"/>
      <c r="W79" s="1141"/>
      <c r="X79" s="1141"/>
      <c r="Y79" s="1141"/>
      <c r="Z79" s="1141"/>
      <c r="AA79" s="1141"/>
      <c r="AB79" s="1141"/>
      <c r="AC79" s="1141"/>
      <c r="AD79" s="1141"/>
      <c r="AE79" s="1135"/>
      <c r="AF79" s="1141"/>
      <c r="AG79" s="1135"/>
      <c r="AH79" s="1141"/>
      <c r="AI79" s="1141"/>
      <c r="AJ79" s="1142"/>
      <c r="AK79" s="1137">
        <f t="shared" si="3"/>
        <v>0</v>
      </c>
      <c r="AL79" s="1137">
        <f t="shared" si="3"/>
        <v>0</v>
      </c>
    </row>
    <row r="80" spans="1:38" hidden="1" outlineLevel="2" x14ac:dyDescent="0.3">
      <c r="A80" s="1130"/>
      <c r="B80" s="1138"/>
      <c r="C80" s="1139"/>
      <c r="D80" s="1140"/>
      <c r="E80" s="1134"/>
      <c r="F80" s="1141"/>
      <c r="G80" s="1141"/>
      <c r="H80" s="1141"/>
      <c r="I80" s="1141"/>
      <c r="J80" s="1141"/>
      <c r="K80" s="1135"/>
      <c r="L80" s="1141"/>
      <c r="M80" s="1141"/>
      <c r="N80" s="1141"/>
      <c r="O80" s="1141"/>
      <c r="P80" s="1141"/>
      <c r="Q80" s="1141"/>
      <c r="R80" s="1141"/>
      <c r="S80" s="1141"/>
      <c r="T80" s="1141"/>
      <c r="U80" s="1135"/>
      <c r="V80" s="1141"/>
      <c r="W80" s="1141"/>
      <c r="X80" s="1141"/>
      <c r="Y80" s="1141"/>
      <c r="Z80" s="1141"/>
      <c r="AA80" s="1141"/>
      <c r="AB80" s="1141"/>
      <c r="AC80" s="1141"/>
      <c r="AD80" s="1141"/>
      <c r="AE80" s="1135"/>
      <c r="AF80" s="1141"/>
      <c r="AG80" s="1135"/>
      <c r="AH80" s="1141"/>
      <c r="AI80" s="1141"/>
      <c r="AJ80" s="1142"/>
      <c r="AK80" s="1137">
        <f t="shared" si="3"/>
        <v>0</v>
      </c>
      <c r="AL80" s="1137">
        <f t="shared" si="3"/>
        <v>0</v>
      </c>
    </row>
    <row r="81" spans="1:38" hidden="1" outlineLevel="2" x14ac:dyDescent="0.3">
      <c r="A81" s="1130"/>
      <c r="B81" s="1138"/>
      <c r="C81" s="1139"/>
      <c r="D81" s="1140"/>
      <c r="E81" s="1134"/>
      <c r="F81" s="1141"/>
      <c r="G81" s="1141"/>
      <c r="H81" s="1141"/>
      <c r="I81" s="1141"/>
      <c r="J81" s="1141"/>
      <c r="K81" s="1135"/>
      <c r="L81" s="1141"/>
      <c r="M81" s="1141"/>
      <c r="N81" s="1141"/>
      <c r="O81" s="1141"/>
      <c r="P81" s="1141"/>
      <c r="Q81" s="1141"/>
      <c r="R81" s="1141"/>
      <c r="S81" s="1141"/>
      <c r="T81" s="1141"/>
      <c r="U81" s="1135"/>
      <c r="V81" s="1141"/>
      <c r="W81" s="1141"/>
      <c r="X81" s="1141"/>
      <c r="Y81" s="1141"/>
      <c r="Z81" s="1141"/>
      <c r="AA81" s="1141"/>
      <c r="AB81" s="1141"/>
      <c r="AC81" s="1141"/>
      <c r="AD81" s="1141"/>
      <c r="AE81" s="1135"/>
      <c r="AF81" s="1141"/>
      <c r="AG81" s="1135"/>
      <c r="AH81" s="1141"/>
      <c r="AI81" s="1141"/>
      <c r="AJ81" s="1142"/>
      <c r="AK81" s="1137">
        <f t="shared" si="3"/>
        <v>0</v>
      </c>
      <c r="AL81" s="1137">
        <f t="shared" si="3"/>
        <v>0</v>
      </c>
    </row>
    <row r="82" spans="1:38" hidden="1" outlineLevel="2" x14ac:dyDescent="0.3">
      <c r="A82" s="1130"/>
      <c r="B82" s="1138"/>
      <c r="C82" s="1139"/>
      <c r="D82" s="1140"/>
      <c r="E82" s="1134"/>
      <c r="F82" s="1141"/>
      <c r="G82" s="1141"/>
      <c r="H82" s="1141"/>
      <c r="I82" s="1141"/>
      <c r="J82" s="1141"/>
      <c r="K82" s="1135"/>
      <c r="L82" s="1141"/>
      <c r="M82" s="1141"/>
      <c r="N82" s="1141"/>
      <c r="O82" s="1141"/>
      <c r="P82" s="1141"/>
      <c r="Q82" s="1141"/>
      <c r="R82" s="1141"/>
      <c r="S82" s="1141"/>
      <c r="T82" s="1141"/>
      <c r="U82" s="1135"/>
      <c r="V82" s="1141"/>
      <c r="W82" s="1141"/>
      <c r="X82" s="1141"/>
      <c r="Y82" s="1141"/>
      <c r="Z82" s="1141"/>
      <c r="AA82" s="1141"/>
      <c r="AB82" s="1141"/>
      <c r="AC82" s="1141"/>
      <c r="AD82" s="1141"/>
      <c r="AE82" s="1135"/>
      <c r="AF82" s="1141"/>
      <c r="AG82" s="1135"/>
      <c r="AH82" s="1141"/>
      <c r="AI82" s="1141"/>
      <c r="AJ82" s="1142"/>
      <c r="AK82" s="1137">
        <f t="shared" si="3"/>
        <v>0</v>
      </c>
      <c r="AL82" s="1137">
        <f t="shared" si="3"/>
        <v>0</v>
      </c>
    </row>
    <row r="83" spans="1:38" hidden="1" outlineLevel="2" x14ac:dyDescent="0.3">
      <c r="A83" s="1130"/>
      <c r="B83" s="1138"/>
      <c r="C83" s="1139"/>
      <c r="D83" s="1140"/>
      <c r="E83" s="1134"/>
      <c r="F83" s="1141"/>
      <c r="G83" s="1141"/>
      <c r="H83" s="1141"/>
      <c r="I83" s="1141"/>
      <c r="J83" s="1141"/>
      <c r="K83" s="1135"/>
      <c r="L83" s="1141"/>
      <c r="M83" s="1141"/>
      <c r="N83" s="1141"/>
      <c r="O83" s="1141"/>
      <c r="P83" s="1141"/>
      <c r="Q83" s="1141"/>
      <c r="R83" s="1141"/>
      <c r="S83" s="1141"/>
      <c r="T83" s="1141"/>
      <c r="U83" s="1135"/>
      <c r="V83" s="1141"/>
      <c r="W83" s="1141"/>
      <c r="X83" s="1141"/>
      <c r="Y83" s="1141"/>
      <c r="Z83" s="1141"/>
      <c r="AA83" s="1141"/>
      <c r="AB83" s="1141"/>
      <c r="AC83" s="1141"/>
      <c r="AD83" s="1141"/>
      <c r="AE83" s="1135"/>
      <c r="AF83" s="1141"/>
      <c r="AG83" s="1135"/>
      <c r="AH83" s="1141"/>
      <c r="AI83" s="1141"/>
      <c r="AJ83" s="1142"/>
      <c r="AK83" s="1137">
        <f t="shared" si="3"/>
        <v>0</v>
      </c>
      <c r="AL83" s="1137">
        <f t="shared" si="3"/>
        <v>0</v>
      </c>
    </row>
    <row r="84" spans="1:38" hidden="1" outlineLevel="2" x14ac:dyDescent="0.3">
      <c r="A84" s="1130"/>
      <c r="B84" s="1138"/>
      <c r="C84" s="1139"/>
      <c r="D84" s="1140"/>
      <c r="E84" s="1134"/>
      <c r="F84" s="1141"/>
      <c r="G84" s="1141"/>
      <c r="H84" s="1141"/>
      <c r="I84" s="1141"/>
      <c r="J84" s="1141"/>
      <c r="K84" s="1135"/>
      <c r="L84" s="1141"/>
      <c r="M84" s="1141"/>
      <c r="N84" s="1141"/>
      <c r="O84" s="1141"/>
      <c r="P84" s="1141"/>
      <c r="Q84" s="1141"/>
      <c r="R84" s="1141"/>
      <c r="S84" s="1141"/>
      <c r="T84" s="1141"/>
      <c r="U84" s="1135"/>
      <c r="V84" s="1141"/>
      <c r="W84" s="1141"/>
      <c r="X84" s="1141"/>
      <c r="Y84" s="1141"/>
      <c r="Z84" s="1141"/>
      <c r="AA84" s="1141"/>
      <c r="AB84" s="1141"/>
      <c r="AC84" s="1141"/>
      <c r="AD84" s="1141"/>
      <c r="AE84" s="1135"/>
      <c r="AF84" s="1141"/>
      <c r="AG84" s="1135"/>
      <c r="AH84" s="1141"/>
      <c r="AI84" s="1141"/>
      <c r="AJ84" s="1142"/>
      <c r="AK84" s="1137">
        <f t="shared" si="3"/>
        <v>0</v>
      </c>
      <c r="AL84" s="1137">
        <f t="shared" si="3"/>
        <v>0</v>
      </c>
    </row>
    <row r="85" spans="1:38" hidden="1" outlineLevel="2" x14ac:dyDescent="0.3">
      <c r="A85" s="1130"/>
      <c r="B85" s="1138"/>
      <c r="C85" s="1139"/>
      <c r="D85" s="1140"/>
      <c r="E85" s="1134"/>
      <c r="F85" s="1141"/>
      <c r="G85" s="1141"/>
      <c r="H85" s="1141"/>
      <c r="I85" s="1141"/>
      <c r="J85" s="1141"/>
      <c r="K85" s="1135"/>
      <c r="L85" s="1141"/>
      <c r="M85" s="1141"/>
      <c r="N85" s="1141"/>
      <c r="O85" s="1141"/>
      <c r="P85" s="1141"/>
      <c r="Q85" s="1141"/>
      <c r="R85" s="1141"/>
      <c r="S85" s="1141"/>
      <c r="T85" s="1141"/>
      <c r="U85" s="1135"/>
      <c r="V85" s="1141"/>
      <c r="W85" s="1141"/>
      <c r="X85" s="1141"/>
      <c r="Y85" s="1141"/>
      <c r="Z85" s="1141"/>
      <c r="AA85" s="1141"/>
      <c r="AB85" s="1141"/>
      <c r="AC85" s="1141"/>
      <c r="AD85" s="1141"/>
      <c r="AE85" s="1135"/>
      <c r="AF85" s="1141"/>
      <c r="AG85" s="1135"/>
      <c r="AH85" s="1141"/>
      <c r="AI85" s="1141"/>
      <c r="AJ85" s="1142"/>
      <c r="AK85" s="1137">
        <f t="shared" si="3"/>
        <v>0</v>
      </c>
      <c r="AL85" s="1137">
        <f t="shared" si="3"/>
        <v>0</v>
      </c>
    </row>
    <row r="86" spans="1:38" hidden="1" outlineLevel="2" x14ac:dyDescent="0.3">
      <c r="A86" s="1130"/>
      <c r="B86" s="1138"/>
      <c r="C86" s="1139"/>
      <c r="D86" s="1140"/>
      <c r="E86" s="1134"/>
      <c r="F86" s="1141"/>
      <c r="G86" s="1141"/>
      <c r="H86" s="1141"/>
      <c r="I86" s="1141"/>
      <c r="J86" s="1141"/>
      <c r="K86" s="1135"/>
      <c r="L86" s="1141"/>
      <c r="M86" s="1141"/>
      <c r="N86" s="1141"/>
      <c r="O86" s="1141"/>
      <c r="P86" s="1141"/>
      <c r="Q86" s="1141"/>
      <c r="R86" s="1141"/>
      <c r="S86" s="1141"/>
      <c r="T86" s="1141"/>
      <c r="U86" s="1135"/>
      <c r="V86" s="1141"/>
      <c r="W86" s="1141"/>
      <c r="X86" s="1141"/>
      <c r="Y86" s="1141"/>
      <c r="Z86" s="1141"/>
      <c r="AA86" s="1141"/>
      <c r="AB86" s="1141"/>
      <c r="AC86" s="1141"/>
      <c r="AD86" s="1141"/>
      <c r="AE86" s="1135"/>
      <c r="AF86" s="1141"/>
      <c r="AG86" s="1135"/>
      <c r="AH86" s="1141"/>
      <c r="AI86" s="1141"/>
      <c r="AJ86" s="1142"/>
      <c r="AK86" s="1137">
        <f t="shared" si="3"/>
        <v>0</v>
      </c>
      <c r="AL86" s="1137">
        <f t="shared" si="3"/>
        <v>0</v>
      </c>
    </row>
    <row r="87" spans="1:38" hidden="1" outlineLevel="2" x14ac:dyDescent="0.3">
      <c r="A87" s="1130"/>
      <c r="B87" s="1138"/>
      <c r="C87" s="1139"/>
      <c r="D87" s="1140"/>
      <c r="E87" s="1134"/>
      <c r="F87" s="1141"/>
      <c r="G87" s="1141"/>
      <c r="H87" s="1141"/>
      <c r="I87" s="1141"/>
      <c r="J87" s="1141"/>
      <c r="K87" s="1135"/>
      <c r="L87" s="1141"/>
      <c r="M87" s="1141"/>
      <c r="N87" s="1141"/>
      <c r="O87" s="1141"/>
      <c r="P87" s="1141"/>
      <c r="Q87" s="1141"/>
      <c r="R87" s="1141"/>
      <c r="S87" s="1141"/>
      <c r="T87" s="1141"/>
      <c r="U87" s="1135"/>
      <c r="V87" s="1141"/>
      <c r="W87" s="1141"/>
      <c r="X87" s="1141"/>
      <c r="Y87" s="1141"/>
      <c r="Z87" s="1141"/>
      <c r="AA87" s="1141"/>
      <c r="AB87" s="1141"/>
      <c r="AC87" s="1141"/>
      <c r="AD87" s="1141"/>
      <c r="AE87" s="1135"/>
      <c r="AF87" s="1141"/>
      <c r="AG87" s="1135"/>
      <c r="AH87" s="1141"/>
      <c r="AI87" s="1141"/>
      <c r="AJ87" s="1142"/>
      <c r="AK87" s="1137">
        <f t="shared" si="3"/>
        <v>0</v>
      </c>
      <c r="AL87" s="1137">
        <f t="shared" si="3"/>
        <v>0</v>
      </c>
    </row>
    <row r="88" spans="1:38" hidden="1" outlineLevel="2" x14ac:dyDescent="0.3">
      <c r="A88" s="1130"/>
      <c r="B88" s="1138"/>
      <c r="C88" s="1139"/>
      <c r="D88" s="1140"/>
      <c r="E88" s="1143"/>
      <c r="F88" s="1141"/>
      <c r="G88" s="1141"/>
      <c r="H88" s="1141"/>
      <c r="I88" s="1141"/>
      <c r="J88" s="1141"/>
      <c r="K88" s="1141"/>
      <c r="L88" s="1141"/>
      <c r="M88" s="1141"/>
      <c r="N88" s="1141"/>
      <c r="O88" s="1141"/>
      <c r="P88" s="1141"/>
      <c r="Q88" s="1141"/>
      <c r="R88" s="1141"/>
      <c r="S88" s="1141"/>
      <c r="T88" s="1141"/>
      <c r="U88" s="1135"/>
      <c r="V88" s="1141"/>
      <c r="W88" s="1141"/>
      <c r="X88" s="1141"/>
      <c r="Y88" s="1141"/>
      <c r="Z88" s="1141"/>
      <c r="AA88" s="1141"/>
      <c r="AB88" s="1141"/>
      <c r="AC88" s="1141"/>
      <c r="AD88" s="1141"/>
      <c r="AE88" s="1135"/>
      <c r="AF88" s="1141"/>
      <c r="AG88" s="1135"/>
      <c r="AH88" s="1141"/>
      <c r="AI88" s="1141"/>
      <c r="AJ88" s="1142"/>
      <c r="AK88" s="1137"/>
      <c r="AL88" s="1144"/>
    </row>
    <row r="89" spans="1:38" hidden="1" outlineLevel="2" x14ac:dyDescent="0.3">
      <c r="A89" s="1130"/>
      <c r="B89" s="1138"/>
      <c r="C89" s="1139"/>
      <c r="D89" s="1140"/>
      <c r="E89" s="1143"/>
      <c r="F89" s="1141"/>
      <c r="G89" s="1141"/>
      <c r="H89" s="1141"/>
      <c r="I89" s="1141"/>
      <c r="J89" s="1141"/>
      <c r="K89" s="1141"/>
      <c r="L89" s="1141"/>
      <c r="M89" s="1141"/>
      <c r="N89" s="1141"/>
      <c r="O89" s="1141"/>
      <c r="P89" s="1141"/>
      <c r="Q89" s="1141"/>
      <c r="R89" s="1141"/>
      <c r="S89" s="1141"/>
      <c r="T89" s="1141"/>
      <c r="U89" s="1141"/>
      <c r="V89" s="1141"/>
      <c r="W89" s="1141"/>
      <c r="X89" s="1141"/>
      <c r="Y89" s="1141"/>
      <c r="Z89" s="1141"/>
      <c r="AA89" s="1141"/>
      <c r="AB89" s="1141"/>
      <c r="AC89" s="1141"/>
      <c r="AD89" s="1141"/>
      <c r="AE89" s="1141"/>
      <c r="AF89" s="1141"/>
      <c r="AG89" s="1141"/>
      <c r="AH89" s="1141"/>
      <c r="AI89" s="1141"/>
      <c r="AJ89" s="1142"/>
      <c r="AK89" s="1142"/>
      <c r="AL89" s="1144"/>
    </row>
    <row r="90" spans="1:38" ht="15" outlineLevel="1" collapsed="1" thickBot="1" x14ac:dyDescent="0.35">
      <c r="A90" s="1130"/>
      <c r="B90" s="1145" t="s">
        <v>550</v>
      </c>
      <c r="C90" s="1146"/>
      <c r="D90" s="1147"/>
      <c r="E90" s="1148">
        <f t="shared" ref="E90:AL90" si="4">SUBTOTAL(9,E38:E89)</f>
        <v>0</v>
      </c>
      <c r="F90" s="1149">
        <f t="shared" si="4"/>
        <v>0</v>
      </c>
      <c r="G90" s="1149">
        <f t="shared" si="4"/>
        <v>0</v>
      </c>
      <c r="H90" s="1149">
        <f t="shared" si="4"/>
        <v>0</v>
      </c>
      <c r="I90" s="1149">
        <f t="shared" si="4"/>
        <v>0</v>
      </c>
      <c r="J90" s="1149">
        <f t="shared" si="4"/>
        <v>0</v>
      </c>
      <c r="K90" s="1149">
        <f t="shared" si="4"/>
        <v>0</v>
      </c>
      <c r="L90" s="1149">
        <f t="shared" si="4"/>
        <v>0</v>
      </c>
      <c r="M90" s="1149">
        <f t="shared" si="4"/>
        <v>0</v>
      </c>
      <c r="N90" s="1149">
        <f t="shared" si="4"/>
        <v>0</v>
      </c>
      <c r="O90" s="1149">
        <f t="shared" si="4"/>
        <v>0</v>
      </c>
      <c r="P90" s="1149">
        <f t="shared" si="4"/>
        <v>0</v>
      </c>
      <c r="Q90" s="1149">
        <f t="shared" si="4"/>
        <v>0</v>
      </c>
      <c r="R90" s="1149">
        <f t="shared" si="4"/>
        <v>0</v>
      </c>
      <c r="S90" s="1149">
        <f t="shared" si="4"/>
        <v>0</v>
      </c>
      <c r="T90" s="1149">
        <f t="shared" si="4"/>
        <v>0</v>
      </c>
      <c r="U90" s="1149">
        <f t="shared" si="4"/>
        <v>0</v>
      </c>
      <c r="V90" s="1149">
        <f t="shared" si="4"/>
        <v>0</v>
      </c>
      <c r="W90" s="1149"/>
      <c r="X90" s="1149">
        <f t="shared" si="4"/>
        <v>0</v>
      </c>
      <c r="Y90" s="1149">
        <f t="shared" si="4"/>
        <v>0</v>
      </c>
      <c r="Z90" s="1149">
        <f t="shared" si="4"/>
        <v>0</v>
      </c>
      <c r="AA90" s="1149">
        <f t="shared" si="4"/>
        <v>0</v>
      </c>
      <c r="AB90" s="1149">
        <f t="shared" si="4"/>
        <v>0</v>
      </c>
      <c r="AC90" s="1149">
        <f t="shared" si="4"/>
        <v>0</v>
      </c>
      <c r="AD90" s="1149">
        <f t="shared" si="4"/>
        <v>0</v>
      </c>
      <c r="AE90" s="1149">
        <f t="shared" si="4"/>
        <v>0</v>
      </c>
      <c r="AF90" s="1149">
        <f t="shared" si="4"/>
        <v>0</v>
      </c>
      <c r="AG90" s="1149">
        <f t="shared" si="4"/>
        <v>0</v>
      </c>
      <c r="AH90" s="1149">
        <f t="shared" si="4"/>
        <v>0</v>
      </c>
      <c r="AI90" s="1149">
        <f t="shared" si="4"/>
        <v>0</v>
      </c>
      <c r="AJ90" s="1149">
        <f t="shared" si="4"/>
        <v>0</v>
      </c>
      <c r="AK90" s="1149">
        <f>SUBTOTAL(9,AK36:AK89)</f>
        <v>0</v>
      </c>
      <c r="AL90" s="1149">
        <f t="shared" si="4"/>
        <v>0</v>
      </c>
    </row>
    <row r="91" spans="1:38" ht="36" outlineLevel="1" x14ac:dyDescent="0.35">
      <c r="A91" s="1150" t="s">
        <v>1460</v>
      </c>
      <c r="B91" s="1151"/>
      <c r="C91" s="1152"/>
      <c r="D91" s="1153"/>
      <c r="E91" s="1154"/>
      <c r="F91" s="1155"/>
      <c r="G91" s="1155"/>
      <c r="H91" s="1155"/>
      <c r="I91" s="1155"/>
      <c r="J91" s="1155"/>
      <c r="K91" s="1155"/>
      <c r="L91" s="1155"/>
      <c r="M91" s="1155"/>
      <c r="N91" s="1155"/>
      <c r="O91" s="1155"/>
      <c r="P91" s="1155"/>
      <c r="Q91" s="1155"/>
      <c r="R91" s="1155"/>
      <c r="S91" s="1155"/>
      <c r="T91" s="1155"/>
      <c r="U91" s="1155"/>
      <c r="V91" s="1155"/>
      <c r="W91" s="1155"/>
      <c r="X91" s="1155"/>
      <c r="Y91" s="1155"/>
      <c r="Z91" s="1155"/>
      <c r="AA91" s="1155"/>
      <c r="AB91" s="1155"/>
      <c r="AC91" s="1155"/>
      <c r="AD91" s="1155"/>
      <c r="AE91" s="1155"/>
      <c r="AF91" s="1155"/>
      <c r="AG91" s="1155"/>
      <c r="AH91" s="1155"/>
      <c r="AI91" s="1155"/>
      <c r="AJ91" s="1156"/>
      <c r="AK91" s="1156">
        <f t="shared" ref="AK91:AL106" si="5">SUM(E91,G91,I91)-SUM(K91,M91,O91,Q91,S91,U91,W91,Y91,AA91,AC91,AE91,AG91,AI91)</f>
        <v>0</v>
      </c>
      <c r="AL91" s="1157">
        <f t="shared" si="5"/>
        <v>0</v>
      </c>
    </row>
    <row r="92" spans="1:38" hidden="1" outlineLevel="2" x14ac:dyDescent="0.3">
      <c r="A92" s="1158"/>
      <c r="B92" s="1159"/>
      <c r="C92" s="1160"/>
      <c r="D92" s="1161"/>
      <c r="E92" s="1162"/>
      <c r="F92" s="1163"/>
      <c r="G92" s="1163"/>
      <c r="H92" s="1163"/>
      <c r="I92" s="1163"/>
      <c r="J92" s="1163"/>
      <c r="K92" s="1163"/>
      <c r="L92" s="1163"/>
      <c r="M92" s="1163"/>
      <c r="N92" s="1163"/>
      <c r="O92" s="1163"/>
      <c r="P92" s="1163"/>
      <c r="Q92" s="1163"/>
      <c r="R92" s="1163"/>
      <c r="S92" s="1163"/>
      <c r="T92" s="1163"/>
      <c r="U92" s="1163"/>
      <c r="V92" s="1163"/>
      <c r="W92" s="1163"/>
      <c r="X92" s="1163"/>
      <c r="Y92" s="1163"/>
      <c r="Z92" s="1163"/>
      <c r="AA92" s="1163"/>
      <c r="AB92" s="1163"/>
      <c r="AC92" s="1163"/>
      <c r="AD92" s="1163"/>
      <c r="AE92" s="1163"/>
      <c r="AF92" s="1163"/>
      <c r="AG92" s="1163"/>
      <c r="AH92" s="1163"/>
      <c r="AI92" s="1163"/>
      <c r="AJ92" s="1164"/>
      <c r="AK92" s="1164">
        <f t="shared" si="5"/>
        <v>0</v>
      </c>
      <c r="AL92" s="1165">
        <f t="shared" si="5"/>
        <v>0</v>
      </c>
    </row>
    <row r="93" spans="1:38" hidden="1" outlineLevel="2" x14ac:dyDescent="0.3">
      <c r="A93" s="1158"/>
      <c r="B93" s="1159"/>
      <c r="C93" s="1160"/>
      <c r="D93" s="1161"/>
      <c r="E93" s="1162"/>
      <c r="F93" s="1163"/>
      <c r="G93" s="1163"/>
      <c r="H93" s="1163"/>
      <c r="I93" s="1163"/>
      <c r="J93" s="1163"/>
      <c r="K93" s="1163"/>
      <c r="L93" s="1163"/>
      <c r="M93" s="1163"/>
      <c r="N93" s="1163"/>
      <c r="O93" s="1163"/>
      <c r="P93" s="1163"/>
      <c r="Q93" s="1163"/>
      <c r="R93" s="1163"/>
      <c r="S93" s="1163"/>
      <c r="T93" s="1163"/>
      <c r="U93" s="1163"/>
      <c r="V93" s="1163"/>
      <c r="W93" s="1163"/>
      <c r="X93" s="1163"/>
      <c r="Y93" s="1163"/>
      <c r="Z93" s="1163"/>
      <c r="AA93" s="1163"/>
      <c r="AB93" s="1163"/>
      <c r="AC93" s="1163"/>
      <c r="AD93" s="1163"/>
      <c r="AE93" s="1163"/>
      <c r="AF93" s="1163"/>
      <c r="AG93" s="1163"/>
      <c r="AH93" s="1163"/>
      <c r="AI93" s="1163"/>
      <c r="AJ93" s="1164"/>
      <c r="AK93" s="1164">
        <f t="shared" si="5"/>
        <v>0</v>
      </c>
      <c r="AL93" s="1165">
        <f t="shared" si="5"/>
        <v>0</v>
      </c>
    </row>
    <row r="94" spans="1:38" hidden="1" outlineLevel="2" x14ac:dyDescent="0.3">
      <c r="A94" s="1158"/>
      <c r="B94" s="1159"/>
      <c r="C94" s="1160"/>
      <c r="D94" s="1161"/>
      <c r="E94" s="1162"/>
      <c r="F94" s="1163"/>
      <c r="G94" s="1163"/>
      <c r="H94" s="1163"/>
      <c r="I94" s="1163"/>
      <c r="J94" s="1163"/>
      <c r="K94" s="1163"/>
      <c r="L94" s="1163"/>
      <c r="M94" s="1163"/>
      <c r="N94" s="1163"/>
      <c r="O94" s="1163"/>
      <c r="P94" s="1163"/>
      <c r="Q94" s="1163"/>
      <c r="R94" s="1163"/>
      <c r="S94" s="1163"/>
      <c r="T94" s="1163"/>
      <c r="U94" s="1163"/>
      <c r="V94" s="1163"/>
      <c r="W94" s="1163"/>
      <c r="X94" s="1163"/>
      <c r="Y94" s="1163"/>
      <c r="Z94" s="1163"/>
      <c r="AA94" s="1163"/>
      <c r="AB94" s="1163"/>
      <c r="AC94" s="1163"/>
      <c r="AD94" s="1163"/>
      <c r="AE94" s="1163"/>
      <c r="AF94" s="1163"/>
      <c r="AG94" s="1163"/>
      <c r="AH94" s="1163"/>
      <c r="AI94" s="1163"/>
      <c r="AJ94" s="1164"/>
      <c r="AK94" s="1164">
        <f t="shared" si="5"/>
        <v>0</v>
      </c>
      <c r="AL94" s="1165">
        <f t="shared" si="5"/>
        <v>0</v>
      </c>
    </row>
    <row r="95" spans="1:38" hidden="1" outlineLevel="2" x14ac:dyDescent="0.3">
      <c r="A95" s="1158"/>
      <c r="B95" s="1166"/>
      <c r="C95" s="1167"/>
      <c r="D95" s="1168"/>
      <c r="E95" s="1169"/>
      <c r="F95" s="1170"/>
      <c r="G95" s="1170"/>
      <c r="H95" s="1170"/>
      <c r="I95" s="1170"/>
      <c r="J95" s="1170"/>
      <c r="K95" s="1170"/>
      <c r="L95" s="1170"/>
      <c r="M95" s="1170"/>
      <c r="N95" s="1170"/>
      <c r="O95" s="1170"/>
      <c r="P95" s="1170"/>
      <c r="Q95" s="1170"/>
      <c r="R95" s="1170"/>
      <c r="S95" s="1170"/>
      <c r="T95" s="1170"/>
      <c r="U95" s="1170"/>
      <c r="V95" s="1170"/>
      <c r="W95" s="1170"/>
      <c r="X95" s="1170"/>
      <c r="Y95" s="1170"/>
      <c r="Z95" s="1170"/>
      <c r="AA95" s="1170"/>
      <c r="AB95" s="1170"/>
      <c r="AC95" s="1170"/>
      <c r="AD95" s="1170"/>
      <c r="AE95" s="1170"/>
      <c r="AF95" s="1170"/>
      <c r="AG95" s="1170"/>
      <c r="AH95" s="1170"/>
      <c r="AI95" s="1170"/>
      <c r="AJ95" s="1171"/>
      <c r="AK95" s="1171">
        <f t="shared" si="5"/>
        <v>0</v>
      </c>
      <c r="AL95" s="1172">
        <f t="shared" si="5"/>
        <v>0</v>
      </c>
    </row>
    <row r="96" spans="1:38" hidden="1" outlineLevel="2" x14ac:dyDescent="0.3">
      <c r="A96" s="1158"/>
      <c r="B96" s="1166"/>
      <c r="C96" s="1167"/>
      <c r="D96" s="1168"/>
      <c r="E96" s="1169"/>
      <c r="F96" s="1170"/>
      <c r="G96" s="1170"/>
      <c r="H96" s="1170"/>
      <c r="I96" s="1170"/>
      <c r="J96" s="1170"/>
      <c r="K96" s="1170"/>
      <c r="L96" s="1170"/>
      <c r="M96" s="1170"/>
      <c r="N96" s="1170"/>
      <c r="O96" s="1170"/>
      <c r="P96" s="1170"/>
      <c r="Q96" s="1170"/>
      <c r="R96" s="1170"/>
      <c r="S96" s="1170"/>
      <c r="T96" s="1170"/>
      <c r="U96" s="1170"/>
      <c r="V96" s="1170"/>
      <c r="W96" s="1170"/>
      <c r="X96" s="1170"/>
      <c r="Y96" s="1170"/>
      <c r="Z96" s="1170"/>
      <c r="AA96" s="1170"/>
      <c r="AB96" s="1170"/>
      <c r="AC96" s="1170"/>
      <c r="AD96" s="1170"/>
      <c r="AE96" s="1170"/>
      <c r="AF96" s="1170"/>
      <c r="AG96" s="1170"/>
      <c r="AH96" s="1170"/>
      <c r="AI96" s="1170"/>
      <c r="AJ96" s="1171"/>
      <c r="AK96" s="1171">
        <f t="shared" si="5"/>
        <v>0</v>
      </c>
      <c r="AL96" s="1172">
        <f t="shared" si="5"/>
        <v>0</v>
      </c>
    </row>
    <row r="97" spans="1:38" hidden="1" outlineLevel="2" x14ac:dyDescent="0.3">
      <c r="A97" s="1158"/>
      <c r="B97" s="1166"/>
      <c r="C97" s="1167"/>
      <c r="D97" s="1168"/>
      <c r="E97" s="1169"/>
      <c r="F97" s="1170"/>
      <c r="G97" s="1170"/>
      <c r="H97" s="1170"/>
      <c r="I97" s="1170"/>
      <c r="J97" s="1170"/>
      <c r="K97" s="1170"/>
      <c r="L97" s="1170"/>
      <c r="M97" s="1170"/>
      <c r="N97" s="1170"/>
      <c r="O97" s="1170"/>
      <c r="P97" s="1170"/>
      <c r="Q97" s="1170"/>
      <c r="R97" s="1170"/>
      <c r="S97" s="1170"/>
      <c r="T97" s="1170"/>
      <c r="U97" s="1170"/>
      <c r="V97" s="1170"/>
      <c r="W97" s="1170"/>
      <c r="X97" s="1170"/>
      <c r="Y97" s="1170"/>
      <c r="Z97" s="1170"/>
      <c r="AA97" s="1170"/>
      <c r="AB97" s="1170"/>
      <c r="AC97" s="1170"/>
      <c r="AD97" s="1170"/>
      <c r="AE97" s="1170"/>
      <c r="AF97" s="1170"/>
      <c r="AG97" s="1170"/>
      <c r="AH97" s="1170"/>
      <c r="AI97" s="1170"/>
      <c r="AJ97" s="1171"/>
      <c r="AK97" s="1171">
        <f t="shared" si="5"/>
        <v>0</v>
      </c>
      <c r="AL97" s="1172">
        <f t="shared" si="5"/>
        <v>0</v>
      </c>
    </row>
    <row r="98" spans="1:38" hidden="1" outlineLevel="2" x14ac:dyDescent="0.3">
      <c r="A98" s="1158"/>
      <c r="B98" s="1166"/>
      <c r="C98" s="1167"/>
      <c r="D98" s="1168"/>
      <c r="E98" s="1169"/>
      <c r="F98" s="1170"/>
      <c r="G98" s="1170"/>
      <c r="H98" s="1170"/>
      <c r="I98" s="1170"/>
      <c r="J98" s="1170"/>
      <c r="K98" s="1170"/>
      <c r="L98" s="1170"/>
      <c r="M98" s="1170"/>
      <c r="N98" s="1170"/>
      <c r="O98" s="1170"/>
      <c r="P98" s="1170"/>
      <c r="Q98" s="1170"/>
      <c r="R98" s="1170"/>
      <c r="S98" s="1170"/>
      <c r="T98" s="1170"/>
      <c r="U98" s="1170"/>
      <c r="V98" s="1170"/>
      <c r="W98" s="1170"/>
      <c r="X98" s="1170"/>
      <c r="Y98" s="1170"/>
      <c r="Z98" s="1170"/>
      <c r="AA98" s="1170"/>
      <c r="AB98" s="1170"/>
      <c r="AC98" s="1170"/>
      <c r="AD98" s="1170"/>
      <c r="AE98" s="1170"/>
      <c r="AF98" s="1170"/>
      <c r="AG98" s="1170"/>
      <c r="AH98" s="1170"/>
      <c r="AI98" s="1170"/>
      <c r="AJ98" s="1171"/>
      <c r="AK98" s="1171">
        <f t="shared" si="5"/>
        <v>0</v>
      </c>
      <c r="AL98" s="1172">
        <f t="shared" si="5"/>
        <v>0</v>
      </c>
    </row>
    <row r="99" spans="1:38" hidden="1" outlineLevel="2" x14ac:dyDescent="0.3">
      <c r="A99" s="1158"/>
      <c r="B99" s="1166"/>
      <c r="C99" s="1167"/>
      <c r="D99" s="1168"/>
      <c r="E99" s="1169"/>
      <c r="F99" s="1170"/>
      <c r="G99" s="1170"/>
      <c r="H99" s="1170"/>
      <c r="I99" s="1170"/>
      <c r="J99" s="1170"/>
      <c r="K99" s="1170"/>
      <c r="L99" s="1170"/>
      <c r="M99" s="1170"/>
      <c r="N99" s="1170"/>
      <c r="O99" s="1170"/>
      <c r="P99" s="1170"/>
      <c r="Q99" s="1170"/>
      <c r="R99" s="1170"/>
      <c r="S99" s="1170"/>
      <c r="T99" s="1170"/>
      <c r="U99" s="1170"/>
      <c r="V99" s="1170"/>
      <c r="W99" s="1170"/>
      <c r="X99" s="1170"/>
      <c r="Y99" s="1170"/>
      <c r="Z99" s="1170"/>
      <c r="AA99" s="1170"/>
      <c r="AB99" s="1170"/>
      <c r="AC99" s="1170"/>
      <c r="AD99" s="1170"/>
      <c r="AE99" s="1170"/>
      <c r="AF99" s="1170"/>
      <c r="AG99" s="1170"/>
      <c r="AH99" s="1170"/>
      <c r="AI99" s="1170"/>
      <c r="AJ99" s="1171"/>
      <c r="AK99" s="1171">
        <f t="shared" si="5"/>
        <v>0</v>
      </c>
      <c r="AL99" s="1172">
        <f t="shared" si="5"/>
        <v>0</v>
      </c>
    </row>
    <row r="100" spans="1:38" hidden="1" outlineLevel="2" x14ac:dyDescent="0.3">
      <c r="A100" s="1158"/>
      <c r="B100" s="1166"/>
      <c r="C100" s="1167"/>
      <c r="D100" s="1168"/>
      <c r="E100" s="1169"/>
      <c r="F100" s="1170"/>
      <c r="G100" s="1170"/>
      <c r="H100" s="1170"/>
      <c r="I100" s="1170"/>
      <c r="J100" s="1170"/>
      <c r="K100" s="1170"/>
      <c r="L100" s="1170"/>
      <c r="M100" s="1170"/>
      <c r="N100" s="1170"/>
      <c r="O100" s="1170"/>
      <c r="P100" s="1170"/>
      <c r="Q100" s="1170"/>
      <c r="R100" s="1170"/>
      <c r="S100" s="1170"/>
      <c r="T100" s="1170"/>
      <c r="U100" s="1170"/>
      <c r="V100" s="1170"/>
      <c r="W100" s="1170"/>
      <c r="X100" s="1170"/>
      <c r="Y100" s="1170"/>
      <c r="Z100" s="1170"/>
      <c r="AA100" s="1170"/>
      <c r="AB100" s="1170"/>
      <c r="AC100" s="1170"/>
      <c r="AD100" s="1170"/>
      <c r="AE100" s="1170"/>
      <c r="AF100" s="1170"/>
      <c r="AG100" s="1170"/>
      <c r="AH100" s="1170"/>
      <c r="AI100" s="1170"/>
      <c r="AJ100" s="1171"/>
      <c r="AK100" s="1171">
        <f t="shared" si="5"/>
        <v>0</v>
      </c>
      <c r="AL100" s="1172">
        <f t="shared" si="5"/>
        <v>0</v>
      </c>
    </row>
    <row r="101" spans="1:38" ht="15" outlineLevel="1" collapsed="1" thickBot="1" x14ac:dyDescent="0.35">
      <c r="A101" s="1158"/>
      <c r="B101" s="1173" t="s">
        <v>550</v>
      </c>
      <c r="C101" s="1174"/>
      <c r="D101" s="1175"/>
      <c r="E101" s="1176">
        <f t="shared" ref="E101:AJ101" si="6">SUBTOTAL(9,E91:E100)</f>
        <v>0</v>
      </c>
      <c r="F101" s="1177">
        <f t="shared" si="6"/>
        <v>0</v>
      </c>
      <c r="G101" s="1177">
        <f t="shared" si="6"/>
        <v>0</v>
      </c>
      <c r="H101" s="1177">
        <f t="shared" si="6"/>
        <v>0</v>
      </c>
      <c r="I101" s="1177">
        <f t="shared" si="6"/>
        <v>0</v>
      </c>
      <c r="J101" s="1177">
        <f t="shared" si="6"/>
        <v>0</v>
      </c>
      <c r="K101" s="1177">
        <f t="shared" si="6"/>
        <v>0</v>
      </c>
      <c r="L101" s="1177">
        <f t="shared" si="6"/>
        <v>0</v>
      </c>
      <c r="M101" s="1177">
        <f t="shared" si="6"/>
        <v>0</v>
      </c>
      <c r="N101" s="1177">
        <f t="shared" si="6"/>
        <v>0</v>
      </c>
      <c r="O101" s="1177">
        <f t="shared" si="6"/>
        <v>0</v>
      </c>
      <c r="P101" s="1177">
        <f t="shared" si="6"/>
        <v>0</v>
      </c>
      <c r="Q101" s="1177">
        <f t="shared" si="6"/>
        <v>0</v>
      </c>
      <c r="R101" s="1177">
        <f t="shared" si="6"/>
        <v>0</v>
      </c>
      <c r="S101" s="1177">
        <f t="shared" si="6"/>
        <v>0</v>
      </c>
      <c r="T101" s="1177">
        <f t="shared" si="6"/>
        <v>0</v>
      </c>
      <c r="U101" s="1177">
        <f t="shared" si="6"/>
        <v>0</v>
      </c>
      <c r="V101" s="1177">
        <f t="shared" si="6"/>
        <v>0</v>
      </c>
      <c r="W101" s="1177">
        <f t="shared" si="6"/>
        <v>0</v>
      </c>
      <c r="X101" s="1177">
        <f t="shared" si="6"/>
        <v>0</v>
      </c>
      <c r="Y101" s="1177">
        <f t="shared" si="6"/>
        <v>0</v>
      </c>
      <c r="Z101" s="1177">
        <f t="shared" si="6"/>
        <v>0</v>
      </c>
      <c r="AA101" s="1177">
        <f t="shared" si="6"/>
        <v>0</v>
      </c>
      <c r="AB101" s="1177">
        <f t="shared" si="6"/>
        <v>0</v>
      </c>
      <c r="AC101" s="1177">
        <f t="shared" si="6"/>
        <v>0</v>
      </c>
      <c r="AD101" s="1177">
        <f t="shared" si="6"/>
        <v>0</v>
      </c>
      <c r="AE101" s="1177">
        <f t="shared" si="6"/>
        <v>0</v>
      </c>
      <c r="AF101" s="1177">
        <f t="shared" si="6"/>
        <v>0</v>
      </c>
      <c r="AG101" s="1177">
        <f t="shared" si="6"/>
        <v>0</v>
      </c>
      <c r="AH101" s="1177">
        <f t="shared" si="6"/>
        <v>0</v>
      </c>
      <c r="AI101" s="1177">
        <f t="shared" si="6"/>
        <v>0</v>
      </c>
      <c r="AJ101" s="1178">
        <f t="shared" si="6"/>
        <v>0</v>
      </c>
      <c r="AK101" s="1178">
        <f>SUBTOTAL(9,AK91:AK100)</f>
        <v>0</v>
      </c>
      <c r="AL101" s="1179">
        <f>SUBTOTAL(9,AL91:AL100)</f>
        <v>0</v>
      </c>
    </row>
    <row r="102" spans="1:38" ht="18" outlineLevel="1" x14ac:dyDescent="0.35">
      <c r="A102" s="1180" t="s">
        <v>1464</v>
      </c>
      <c r="B102" s="1181"/>
      <c r="C102" s="1182"/>
      <c r="D102" s="1183"/>
      <c r="E102" s="1184"/>
      <c r="F102" s="1185"/>
      <c r="G102" s="1185"/>
      <c r="H102" s="1185"/>
      <c r="I102" s="1185"/>
      <c r="J102" s="1185"/>
      <c r="K102" s="1185"/>
      <c r="L102" s="1185"/>
      <c r="M102" s="1185"/>
      <c r="N102" s="1185"/>
      <c r="O102" s="1185"/>
      <c r="P102" s="1185"/>
      <c r="Q102" s="1185"/>
      <c r="R102" s="1185"/>
      <c r="S102" s="1185"/>
      <c r="T102" s="1185"/>
      <c r="U102" s="1185"/>
      <c r="V102" s="1185"/>
      <c r="W102" s="1185"/>
      <c r="X102" s="1185"/>
      <c r="Y102" s="1185"/>
      <c r="Z102" s="1185"/>
      <c r="AA102" s="1185"/>
      <c r="AB102" s="1185"/>
      <c r="AC102" s="1185"/>
      <c r="AD102" s="1185"/>
      <c r="AE102" s="1185"/>
      <c r="AF102" s="1185"/>
      <c r="AG102" s="1185"/>
      <c r="AH102" s="1185"/>
      <c r="AI102" s="1185"/>
      <c r="AJ102" s="1186"/>
      <c r="AK102" s="1186">
        <f t="shared" si="5"/>
        <v>0</v>
      </c>
      <c r="AL102" s="1187">
        <f t="shared" si="5"/>
        <v>0</v>
      </c>
    </row>
    <row r="103" spans="1:38" hidden="1" outlineLevel="2" x14ac:dyDescent="0.3">
      <c r="A103" s="1188"/>
      <c r="B103" s="1189"/>
      <c r="C103" s="1190"/>
      <c r="D103" s="1191"/>
      <c r="E103" s="1192"/>
      <c r="F103" s="1193"/>
      <c r="G103" s="1193"/>
      <c r="H103" s="1193"/>
      <c r="I103" s="1193"/>
      <c r="J103" s="1193"/>
      <c r="K103" s="1193"/>
      <c r="L103" s="1193"/>
      <c r="M103" s="1193"/>
      <c r="N103" s="1193"/>
      <c r="O103" s="1193"/>
      <c r="P103" s="1193"/>
      <c r="Q103" s="1193"/>
      <c r="R103" s="1193"/>
      <c r="S103" s="1193"/>
      <c r="T103" s="1193"/>
      <c r="U103" s="1193"/>
      <c r="V103" s="1193"/>
      <c r="W103" s="1193"/>
      <c r="X103" s="1193"/>
      <c r="Y103" s="1193"/>
      <c r="Z103" s="1193"/>
      <c r="AA103" s="1193"/>
      <c r="AB103" s="1193"/>
      <c r="AC103" s="1193"/>
      <c r="AD103" s="1193"/>
      <c r="AE103" s="1193"/>
      <c r="AF103" s="1193"/>
      <c r="AG103" s="1193"/>
      <c r="AH103" s="1193"/>
      <c r="AI103" s="1193"/>
      <c r="AJ103" s="1194"/>
      <c r="AK103" s="1194">
        <f t="shared" si="5"/>
        <v>0</v>
      </c>
      <c r="AL103" s="1195">
        <f t="shared" si="5"/>
        <v>0</v>
      </c>
    </row>
    <row r="104" spans="1:38" hidden="1" outlineLevel="2" x14ac:dyDescent="0.3">
      <c r="A104" s="1188"/>
      <c r="B104" s="1189"/>
      <c r="C104" s="1190"/>
      <c r="D104" s="1191"/>
      <c r="E104" s="1192"/>
      <c r="F104" s="1193"/>
      <c r="G104" s="1193"/>
      <c r="H104" s="1193"/>
      <c r="I104" s="1193"/>
      <c r="J104" s="1193"/>
      <c r="K104" s="1193"/>
      <c r="L104" s="1193"/>
      <c r="M104" s="1193"/>
      <c r="N104" s="1193"/>
      <c r="O104" s="1193"/>
      <c r="P104" s="1193"/>
      <c r="Q104" s="1193"/>
      <c r="R104" s="1193"/>
      <c r="S104" s="1193"/>
      <c r="T104" s="1193"/>
      <c r="U104" s="1193"/>
      <c r="V104" s="1193"/>
      <c r="W104" s="1193"/>
      <c r="X104" s="1193"/>
      <c r="Y104" s="1193"/>
      <c r="Z104" s="1193"/>
      <c r="AA104" s="1193"/>
      <c r="AB104" s="1193"/>
      <c r="AC104" s="1193"/>
      <c r="AD104" s="1193"/>
      <c r="AE104" s="1193"/>
      <c r="AF104" s="1193"/>
      <c r="AG104" s="1193"/>
      <c r="AH104" s="1193"/>
      <c r="AI104" s="1193"/>
      <c r="AJ104" s="1194"/>
      <c r="AK104" s="1194">
        <f t="shared" si="5"/>
        <v>0</v>
      </c>
      <c r="AL104" s="1195">
        <f t="shared" si="5"/>
        <v>0</v>
      </c>
    </row>
    <row r="105" spans="1:38" hidden="1" outlineLevel="2" x14ac:dyDescent="0.3">
      <c r="A105" s="1188"/>
      <c r="B105" s="1196"/>
      <c r="C105" s="1197"/>
      <c r="D105" s="1198"/>
      <c r="E105" s="1199"/>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c r="AA105" s="1200"/>
      <c r="AB105" s="1200"/>
      <c r="AC105" s="1200"/>
      <c r="AD105" s="1200"/>
      <c r="AE105" s="1200"/>
      <c r="AF105" s="1200"/>
      <c r="AG105" s="1200"/>
      <c r="AH105" s="1200"/>
      <c r="AI105" s="1200"/>
      <c r="AJ105" s="1201"/>
      <c r="AK105" s="1201">
        <f t="shared" si="5"/>
        <v>0</v>
      </c>
      <c r="AL105" s="1202">
        <f t="shared" si="5"/>
        <v>0</v>
      </c>
    </row>
    <row r="106" spans="1:38" hidden="1" outlineLevel="2" x14ac:dyDescent="0.3">
      <c r="A106" s="1188"/>
      <c r="B106" s="1196"/>
      <c r="C106" s="1197"/>
      <c r="D106" s="1198"/>
      <c r="E106" s="1199"/>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c r="AA106" s="1200"/>
      <c r="AB106" s="1200"/>
      <c r="AC106" s="1200"/>
      <c r="AD106" s="1200"/>
      <c r="AE106" s="1200"/>
      <c r="AF106" s="1200"/>
      <c r="AG106" s="1200"/>
      <c r="AH106" s="1200"/>
      <c r="AI106" s="1200"/>
      <c r="AJ106" s="1201"/>
      <c r="AK106" s="1201">
        <f t="shared" si="5"/>
        <v>0</v>
      </c>
      <c r="AL106" s="1202">
        <f t="shared" si="5"/>
        <v>0</v>
      </c>
    </row>
    <row r="107" spans="1:38" hidden="1" outlineLevel="2" x14ac:dyDescent="0.3">
      <c r="A107" s="1188"/>
      <c r="B107" s="1196"/>
      <c r="C107" s="1197"/>
      <c r="D107" s="1198"/>
      <c r="E107" s="1199"/>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c r="AA107" s="1200"/>
      <c r="AB107" s="1200"/>
      <c r="AC107" s="1200"/>
      <c r="AD107" s="1200"/>
      <c r="AE107" s="1200"/>
      <c r="AF107" s="1200"/>
      <c r="AG107" s="1200"/>
      <c r="AH107" s="1200"/>
      <c r="AI107" s="1200"/>
      <c r="AJ107" s="1201"/>
      <c r="AK107" s="1201">
        <f t="shared" ref="AK107:AL109" si="7">SUM(E107,G107,I107)-SUM(K107,M107,O107,Q107,S107,U107,W107,Y107,AA107,AC107,AE107,AG107,AI107)</f>
        <v>0</v>
      </c>
      <c r="AL107" s="1202">
        <f t="shared" si="7"/>
        <v>0</v>
      </c>
    </row>
    <row r="108" spans="1:38" hidden="1" outlineLevel="2" x14ac:dyDescent="0.3">
      <c r="A108" s="1188"/>
      <c r="B108" s="1196"/>
      <c r="C108" s="1197"/>
      <c r="D108" s="1198"/>
      <c r="E108" s="1199"/>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c r="AA108" s="1200"/>
      <c r="AB108" s="1200"/>
      <c r="AC108" s="1200"/>
      <c r="AD108" s="1200"/>
      <c r="AE108" s="1200"/>
      <c r="AF108" s="1200"/>
      <c r="AG108" s="1200"/>
      <c r="AH108" s="1200"/>
      <c r="AI108" s="1200"/>
      <c r="AJ108" s="1201"/>
      <c r="AK108" s="1201">
        <f t="shared" si="7"/>
        <v>0</v>
      </c>
      <c r="AL108" s="1202">
        <f t="shared" si="7"/>
        <v>0</v>
      </c>
    </row>
    <row r="109" spans="1:38" hidden="1" outlineLevel="2" x14ac:dyDescent="0.3">
      <c r="A109" s="1188"/>
      <c r="B109" s="1196"/>
      <c r="C109" s="1197"/>
      <c r="D109" s="1198"/>
      <c r="E109" s="1199"/>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c r="AA109" s="1200"/>
      <c r="AB109" s="1200"/>
      <c r="AC109" s="1200"/>
      <c r="AD109" s="1200"/>
      <c r="AE109" s="1200"/>
      <c r="AF109" s="1200"/>
      <c r="AG109" s="1200"/>
      <c r="AH109" s="1200"/>
      <c r="AI109" s="1200"/>
      <c r="AJ109" s="1201"/>
      <c r="AK109" s="1201">
        <f t="shared" si="7"/>
        <v>0</v>
      </c>
      <c r="AL109" s="1202">
        <f t="shared" si="7"/>
        <v>0</v>
      </c>
    </row>
    <row r="110" spans="1:38" ht="15" outlineLevel="1" collapsed="1" thickBot="1" x14ac:dyDescent="0.35">
      <c r="A110" s="1188"/>
      <c r="B110" s="1203" t="s">
        <v>550</v>
      </c>
      <c r="C110" s="1204"/>
      <c r="D110" s="1205"/>
      <c r="E110" s="1206">
        <f t="shared" ref="E110:AI110" si="8">SUBTOTAL(9,E102:E109)</f>
        <v>0</v>
      </c>
      <c r="F110" s="1207">
        <f t="shared" si="8"/>
        <v>0</v>
      </c>
      <c r="G110" s="1207">
        <f t="shared" si="8"/>
        <v>0</v>
      </c>
      <c r="H110" s="1207">
        <f t="shared" si="8"/>
        <v>0</v>
      </c>
      <c r="I110" s="1207">
        <f t="shared" si="8"/>
        <v>0</v>
      </c>
      <c r="J110" s="1207">
        <f t="shared" si="8"/>
        <v>0</v>
      </c>
      <c r="K110" s="1207">
        <f t="shared" si="8"/>
        <v>0</v>
      </c>
      <c r="L110" s="1207">
        <f t="shared" si="8"/>
        <v>0</v>
      </c>
      <c r="M110" s="1207">
        <f t="shared" si="8"/>
        <v>0</v>
      </c>
      <c r="N110" s="1207">
        <f t="shared" si="8"/>
        <v>0</v>
      </c>
      <c r="O110" s="1207">
        <f t="shared" si="8"/>
        <v>0</v>
      </c>
      <c r="P110" s="1207">
        <f t="shared" si="8"/>
        <v>0</v>
      </c>
      <c r="Q110" s="1207">
        <f t="shared" si="8"/>
        <v>0</v>
      </c>
      <c r="R110" s="1207">
        <f t="shared" si="8"/>
        <v>0</v>
      </c>
      <c r="S110" s="1207">
        <f t="shared" si="8"/>
        <v>0</v>
      </c>
      <c r="T110" s="1207">
        <f t="shared" si="8"/>
        <v>0</v>
      </c>
      <c r="U110" s="1207">
        <f t="shared" si="8"/>
        <v>0</v>
      </c>
      <c r="V110" s="1207">
        <f t="shared" si="8"/>
        <v>0</v>
      </c>
      <c r="W110" s="1207">
        <f t="shared" si="8"/>
        <v>0</v>
      </c>
      <c r="X110" s="1207">
        <f t="shared" si="8"/>
        <v>0</v>
      </c>
      <c r="Y110" s="1207">
        <f t="shared" si="8"/>
        <v>0</v>
      </c>
      <c r="Z110" s="1207">
        <f t="shared" si="8"/>
        <v>0</v>
      </c>
      <c r="AA110" s="1207">
        <f t="shared" si="8"/>
        <v>0</v>
      </c>
      <c r="AB110" s="1207">
        <f t="shared" si="8"/>
        <v>0</v>
      </c>
      <c r="AC110" s="1207">
        <f t="shared" si="8"/>
        <v>0</v>
      </c>
      <c r="AD110" s="1207">
        <f t="shared" si="8"/>
        <v>0</v>
      </c>
      <c r="AE110" s="1207">
        <f t="shared" si="8"/>
        <v>0</v>
      </c>
      <c r="AF110" s="1207">
        <f t="shared" si="8"/>
        <v>0</v>
      </c>
      <c r="AG110" s="1207">
        <f t="shared" si="8"/>
        <v>0</v>
      </c>
      <c r="AH110" s="1207">
        <f t="shared" si="8"/>
        <v>0</v>
      </c>
      <c r="AI110" s="1207">
        <f t="shared" si="8"/>
        <v>0</v>
      </c>
      <c r="AJ110" s="1208"/>
      <c r="AK110" s="1208">
        <f>SUBTOTAL(9,AK102:AK109)</f>
        <v>0</v>
      </c>
      <c r="AL110" s="1209">
        <f>SUBTOTAL(9,AL102:AL109)</f>
        <v>0</v>
      </c>
    </row>
    <row r="111" spans="1:38" x14ac:dyDescent="0.3">
      <c r="A111" s="98"/>
      <c r="B111" s="660"/>
      <c r="C111" s="660"/>
      <c r="D111" s="660"/>
      <c r="E111" s="941">
        <f>SUM(E110,E101,E90)</f>
        <v>0</v>
      </c>
      <c r="F111" s="941"/>
      <c r="G111" s="941">
        <f>SUM(G110,G101,G90)</f>
        <v>0</v>
      </c>
      <c r="H111" s="941"/>
      <c r="I111" s="941">
        <f>SUM(I110,I101,I90)</f>
        <v>0</v>
      </c>
      <c r="J111" s="941"/>
      <c r="K111" s="941">
        <v>9600</v>
      </c>
      <c r="L111" s="941"/>
      <c r="M111" s="941">
        <f>SUM(M110,M101,M90)</f>
        <v>0</v>
      </c>
      <c r="N111" s="941"/>
      <c r="O111" s="941">
        <f>SUM(O110,O101,O90)</f>
        <v>0</v>
      </c>
      <c r="P111" s="941"/>
      <c r="Q111" s="941">
        <f>SUM(Q110,Q101,Q90)</f>
        <v>0</v>
      </c>
      <c r="R111" s="941"/>
      <c r="S111" s="941">
        <f>SUM(S110,S101,S90)</f>
        <v>0</v>
      </c>
      <c r="T111" s="941"/>
      <c r="U111" s="941">
        <f>SUM(U110,U101,U90)</f>
        <v>0</v>
      </c>
      <c r="V111" s="941"/>
      <c r="W111" s="941">
        <f>SUM(W110,W101,W90)</f>
        <v>0</v>
      </c>
      <c r="X111" s="941"/>
      <c r="Y111" s="941">
        <f>SUM(Y110,Y101,Y90)</f>
        <v>0</v>
      </c>
      <c r="Z111" s="941"/>
      <c r="AA111" s="941">
        <f>SUM(AA110,AA101,AA90)</f>
        <v>0</v>
      </c>
      <c r="AB111" s="941"/>
      <c r="AC111" s="941">
        <f>SUM(AC110,AC101,AC90)</f>
        <v>0</v>
      </c>
      <c r="AD111" s="941"/>
      <c r="AE111" s="941">
        <f>SUM(AE110,AE101,AE90)</f>
        <v>0</v>
      </c>
      <c r="AF111" s="941"/>
      <c r="AG111" s="941">
        <f>SUM(AG110,AG101,AG90)</f>
        <v>0</v>
      </c>
      <c r="AH111" s="941"/>
      <c r="AI111" s="941">
        <f>SUM(AI110,AI101,AI90)</f>
        <v>0</v>
      </c>
      <c r="AJ111" s="941"/>
      <c r="AK111" s="941"/>
      <c r="AL111" s="941">
        <f>SUM(K111:AI111)-SUM(E111:I111)</f>
        <v>9600</v>
      </c>
    </row>
    <row r="112" spans="1:38" ht="15.6" x14ac:dyDescent="0.3">
      <c r="B112" s="76"/>
      <c r="C112" s="76"/>
      <c r="D112" s="79"/>
      <c r="E112" s="1112"/>
      <c r="F112" s="1112"/>
      <c r="G112" s="660"/>
      <c r="H112" s="1112"/>
      <c r="I112" s="660"/>
      <c r="J112" s="1112"/>
      <c r="K112" s="660"/>
      <c r="L112" s="1112"/>
      <c r="M112" s="660"/>
      <c r="N112" s="1112"/>
      <c r="O112" s="660"/>
      <c r="P112" s="1112"/>
      <c r="Q112" s="660"/>
      <c r="R112" s="1112"/>
      <c r="S112" s="660"/>
      <c r="T112" s="1112"/>
      <c r="U112" s="660"/>
      <c r="V112" s="1112"/>
      <c r="W112" s="660"/>
      <c r="X112" s="1112"/>
      <c r="Y112" s="660"/>
      <c r="Z112" s="1112"/>
      <c r="AA112" s="660"/>
      <c r="AB112" s="1112"/>
      <c r="AC112" s="660"/>
      <c r="AD112" s="1112"/>
      <c r="AE112" s="660"/>
      <c r="AF112" s="1112"/>
      <c r="AG112" s="660"/>
      <c r="AH112" s="1112"/>
      <c r="AI112" s="660"/>
      <c r="AJ112" s="660"/>
      <c r="AK112" s="1108"/>
      <c r="AL112" s="1106"/>
    </row>
    <row r="113" spans="1:38" ht="18" x14ac:dyDescent="0.3">
      <c r="A113" s="1110" t="s">
        <v>1467</v>
      </c>
      <c r="B113" s="1111"/>
      <c r="C113" s="1111"/>
      <c r="D113" s="1111"/>
      <c r="E113" s="1112"/>
      <c r="F113" s="1112"/>
      <c r="G113" s="660"/>
      <c r="H113" s="660"/>
      <c r="I113" s="660"/>
      <c r="J113" s="660"/>
      <c r="K113" s="660"/>
      <c r="L113" s="660"/>
      <c r="M113" s="660"/>
      <c r="N113" s="660"/>
      <c r="O113" s="660"/>
      <c r="P113" s="660"/>
      <c r="Q113" s="660"/>
      <c r="R113" s="660"/>
      <c r="S113" s="660"/>
      <c r="T113" s="660"/>
      <c r="U113" s="660"/>
      <c r="V113" s="660"/>
      <c r="W113" s="660"/>
      <c r="X113" s="660"/>
      <c r="Y113" s="660"/>
      <c r="Z113" s="660"/>
      <c r="AA113" s="660"/>
      <c r="AB113" s="660"/>
      <c r="AC113" s="660"/>
      <c r="AD113" s="660"/>
      <c r="AE113" s="660"/>
      <c r="AF113" s="660"/>
      <c r="AG113" s="660"/>
      <c r="AH113" s="660"/>
      <c r="AI113" s="660"/>
      <c r="AJ113" s="660"/>
      <c r="AK113" s="660"/>
    </row>
    <row r="114" spans="1:38" ht="15" thickBot="1" x14ac:dyDescent="0.35">
      <c r="A114" s="39"/>
      <c r="B114" s="1113"/>
      <c r="C114" s="1113"/>
      <c r="D114" s="1114" t="s">
        <v>1407</v>
      </c>
      <c r="E114" s="1115" t="s">
        <v>69</v>
      </c>
      <c r="F114" s="1116" t="s">
        <v>8</v>
      </c>
      <c r="G114" s="1115" t="s">
        <v>83</v>
      </c>
      <c r="H114" s="1116" t="s">
        <v>8</v>
      </c>
      <c r="I114" s="1115" t="s">
        <v>90</v>
      </c>
      <c r="J114" s="1116" t="s">
        <v>8</v>
      </c>
      <c r="K114" s="1117" t="s">
        <v>134</v>
      </c>
      <c r="L114" s="1118" t="s">
        <v>8</v>
      </c>
      <c r="M114" s="1117" t="s">
        <v>136</v>
      </c>
      <c r="N114" s="1118" t="s">
        <v>8</v>
      </c>
      <c r="O114" s="1117" t="s">
        <v>728</v>
      </c>
      <c r="P114" s="1118" t="s">
        <v>8</v>
      </c>
      <c r="Q114" s="1117" t="s">
        <v>266</v>
      </c>
      <c r="R114" s="1118" t="s">
        <v>8</v>
      </c>
      <c r="S114" s="1117" t="s">
        <v>292</v>
      </c>
      <c r="T114" s="1118" t="s">
        <v>8</v>
      </c>
      <c r="U114" s="1117" t="s">
        <v>335</v>
      </c>
      <c r="V114" s="1118" t="s">
        <v>8</v>
      </c>
      <c r="W114" s="1117" t="s">
        <v>346</v>
      </c>
      <c r="X114" s="1118" t="s">
        <v>8</v>
      </c>
      <c r="Y114" s="1117" t="s">
        <v>357</v>
      </c>
      <c r="Z114" s="1118" t="s">
        <v>8</v>
      </c>
      <c r="AA114" s="1117" t="s">
        <v>364</v>
      </c>
      <c r="AB114" s="1118" t="s">
        <v>8</v>
      </c>
      <c r="AC114" s="1117" t="s">
        <v>376</v>
      </c>
      <c r="AD114" s="1118" t="s">
        <v>8</v>
      </c>
      <c r="AE114" s="1117" t="s">
        <v>386</v>
      </c>
      <c r="AF114" s="1118" t="s">
        <v>8</v>
      </c>
      <c r="AG114" s="1117" t="s">
        <v>398</v>
      </c>
      <c r="AH114" s="1118" t="s">
        <v>8</v>
      </c>
      <c r="AI114" s="1117" t="s">
        <v>424</v>
      </c>
      <c r="AJ114" s="1119" t="s">
        <v>8</v>
      </c>
      <c r="AK114" s="1120" t="s">
        <v>1404</v>
      </c>
      <c r="AL114" s="1121" t="s">
        <v>1405</v>
      </c>
    </row>
    <row r="115" spans="1:38" s="39" customFormat="1" ht="21" customHeight="1" outlineLevel="1" x14ac:dyDescent="0.35">
      <c r="A115" s="1122" t="s">
        <v>1223</v>
      </c>
      <c r="B115" s="1123" t="s">
        <v>625</v>
      </c>
      <c r="C115" s="1124" t="s">
        <v>1408</v>
      </c>
      <c r="D115" s="1125" t="s">
        <v>1409</v>
      </c>
      <c r="E115" s="1126"/>
      <c r="F115" s="1127"/>
      <c r="G115" s="1127"/>
      <c r="H115" s="1127"/>
      <c r="I115" s="1127"/>
      <c r="J115" s="1127"/>
      <c r="K115" s="1127"/>
      <c r="L115" s="1127"/>
      <c r="M115" s="1127"/>
      <c r="N115" s="1127"/>
      <c r="O115" s="1127"/>
      <c r="P115" s="1127"/>
      <c r="Q115" s="1127"/>
      <c r="R115" s="1127"/>
      <c r="S115" s="1127"/>
      <c r="T115" s="1127"/>
      <c r="U115" s="1127"/>
      <c r="V115" s="1127"/>
      <c r="W115" s="1127"/>
      <c r="X115" s="1127"/>
      <c r="Y115" s="1127"/>
      <c r="Z115" s="1127"/>
      <c r="AA115" s="1127"/>
      <c r="AB115" s="1127"/>
      <c r="AC115" s="1127"/>
      <c r="AD115" s="1127"/>
      <c r="AE115" s="1127"/>
      <c r="AF115" s="1127"/>
      <c r="AG115" s="1127"/>
      <c r="AH115" s="1127"/>
      <c r="AI115" s="1127"/>
      <c r="AJ115" s="1128"/>
      <c r="AK115" s="1128"/>
      <c r="AL115" s="1129"/>
    </row>
    <row r="116" spans="1:38" hidden="1" outlineLevel="2" x14ac:dyDescent="0.3">
      <c r="A116" s="1130"/>
      <c r="B116" s="1131"/>
      <c r="C116" s="1132"/>
      <c r="D116" s="1133"/>
      <c r="E116" s="1134"/>
      <c r="F116" s="1135"/>
      <c r="G116" s="1135"/>
      <c r="H116" s="1135"/>
      <c r="I116" s="1135"/>
      <c r="J116" s="1135"/>
      <c r="K116" s="1135"/>
      <c r="L116" s="1135"/>
      <c r="M116" s="1135"/>
      <c r="N116" s="1135"/>
      <c r="O116" s="1135"/>
      <c r="P116" s="1135"/>
      <c r="Q116" s="1135"/>
      <c r="R116" s="1135"/>
      <c r="S116" s="1135"/>
      <c r="T116" s="1135"/>
      <c r="U116" s="1135"/>
      <c r="V116" s="1135"/>
      <c r="W116" s="1135"/>
      <c r="X116" s="1135"/>
      <c r="Y116" s="1135"/>
      <c r="Z116" s="1135"/>
      <c r="AA116" s="1135"/>
      <c r="AB116" s="1135"/>
      <c r="AC116" s="1135"/>
      <c r="AD116" s="1135"/>
      <c r="AE116" s="1135"/>
      <c r="AF116" s="1135"/>
      <c r="AG116" s="1135"/>
      <c r="AH116" s="1135"/>
      <c r="AI116" s="1135"/>
      <c r="AJ116" s="1136"/>
      <c r="AK116" s="1136"/>
      <c r="AL116" s="1137"/>
    </row>
    <row r="117" spans="1:38" ht="42" hidden="1" customHeight="1" outlineLevel="2" x14ac:dyDescent="0.3">
      <c r="A117" s="1130"/>
      <c r="B117" s="1131"/>
      <c r="C117" s="1132"/>
      <c r="D117" s="1133"/>
      <c r="E117" s="1134"/>
      <c r="F117" s="1135"/>
      <c r="G117" s="1135"/>
      <c r="H117" s="1135"/>
      <c r="I117" s="1135"/>
      <c r="J117" s="1135"/>
      <c r="K117" s="1135"/>
      <c r="L117" s="1135"/>
      <c r="M117" s="1135"/>
      <c r="N117" s="1135"/>
      <c r="O117" s="1135"/>
      <c r="P117" s="1135"/>
      <c r="Q117" s="1135"/>
      <c r="R117" s="1135"/>
      <c r="S117" s="1135"/>
      <c r="T117" s="1135"/>
      <c r="U117" s="1135"/>
      <c r="V117" s="1135"/>
      <c r="W117" s="1135"/>
      <c r="X117" s="1135"/>
      <c r="Y117" s="1135"/>
      <c r="Z117" s="1135"/>
      <c r="AA117" s="1135"/>
      <c r="AB117" s="1135"/>
      <c r="AC117" s="1135"/>
      <c r="AD117" s="1135">
        <v>0</v>
      </c>
      <c r="AE117" s="1135"/>
      <c r="AF117" s="1135"/>
      <c r="AG117" s="1135"/>
      <c r="AH117" s="1135"/>
      <c r="AI117" s="1135"/>
      <c r="AJ117" s="1136"/>
      <c r="AK117" s="1137">
        <f t="shared" ref="AK117:AL148" si="9">SUM(E117,G117,I117)-SUM(K117,M117,O117,Q117,S117,U117,W117,Y117,AA117,AC117,AE117,AG117,AI117)</f>
        <v>0</v>
      </c>
      <c r="AL117" s="1137">
        <f t="shared" si="9"/>
        <v>0</v>
      </c>
    </row>
    <row r="118" spans="1:38" hidden="1" outlineLevel="2" x14ac:dyDescent="0.3">
      <c r="A118" s="1130"/>
      <c r="B118" s="1131"/>
      <c r="C118" s="1132"/>
      <c r="D118" s="1133"/>
      <c r="E118" s="1134"/>
      <c r="F118" s="1135"/>
      <c r="G118" s="1135"/>
      <c r="H118" s="1135"/>
      <c r="I118" s="1135"/>
      <c r="J118" s="1135"/>
      <c r="K118" s="1135"/>
      <c r="L118" s="1135"/>
      <c r="M118" s="1135"/>
      <c r="N118" s="1135"/>
      <c r="O118" s="1135"/>
      <c r="P118" s="1135"/>
      <c r="Q118" s="1135"/>
      <c r="R118" s="1135"/>
      <c r="S118" s="1135"/>
      <c r="T118" s="1135"/>
      <c r="U118" s="1135"/>
      <c r="V118" s="1135"/>
      <c r="W118" s="1135"/>
      <c r="X118" s="1135"/>
      <c r="Y118" s="1135"/>
      <c r="Z118" s="1135"/>
      <c r="AA118" s="1135"/>
      <c r="AB118" s="1135"/>
      <c r="AC118" s="1135"/>
      <c r="AD118" s="1135">
        <v>0</v>
      </c>
      <c r="AE118" s="1135"/>
      <c r="AF118" s="1135"/>
      <c r="AG118" s="1135"/>
      <c r="AH118" s="1135"/>
      <c r="AI118" s="1135"/>
      <c r="AJ118" s="1136"/>
      <c r="AK118" s="1137">
        <f t="shared" si="9"/>
        <v>0</v>
      </c>
      <c r="AL118" s="1137">
        <f t="shared" si="9"/>
        <v>0</v>
      </c>
    </row>
    <row r="119" spans="1:38" hidden="1" outlineLevel="2" x14ac:dyDescent="0.3">
      <c r="A119" s="1130"/>
      <c r="B119" s="1138"/>
      <c r="C119" s="1139"/>
      <c r="D119" s="1140"/>
      <c r="E119" s="1134"/>
      <c r="F119" s="1141"/>
      <c r="G119" s="1141"/>
      <c r="H119" s="1141"/>
      <c r="I119" s="1141"/>
      <c r="J119" s="1141"/>
      <c r="K119" s="1135"/>
      <c r="L119" s="1141"/>
      <c r="M119" s="1141"/>
      <c r="N119" s="1141"/>
      <c r="O119" s="1141"/>
      <c r="P119" s="1141"/>
      <c r="Q119" s="1141"/>
      <c r="R119" s="1141"/>
      <c r="S119" s="1141"/>
      <c r="T119" s="1141"/>
      <c r="U119" s="1135"/>
      <c r="V119" s="1141"/>
      <c r="W119" s="1141"/>
      <c r="X119" s="1141"/>
      <c r="Y119" s="1141"/>
      <c r="Z119" s="1141"/>
      <c r="AA119" s="1141"/>
      <c r="AB119" s="1141"/>
      <c r="AC119" s="1141"/>
      <c r="AD119" s="1141"/>
      <c r="AE119" s="1135"/>
      <c r="AF119" s="1141"/>
      <c r="AG119" s="1135"/>
      <c r="AH119" s="1141"/>
      <c r="AI119" s="1141"/>
      <c r="AJ119" s="1142"/>
      <c r="AK119" s="1137">
        <f t="shared" si="9"/>
        <v>0</v>
      </c>
      <c r="AL119" s="1137">
        <f t="shared" si="9"/>
        <v>0</v>
      </c>
    </row>
    <row r="120" spans="1:38" hidden="1" outlineLevel="2" x14ac:dyDescent="0.3">
      <c r="A120" s="1130"/>
      <c r="B120" s="1138"/>
      <c r="C120" s="1139"/>
      <c r="D120" s="1140"/>
      <c r="E120" s="1134"/>
      <c r="F120" s="1141"/>
      <c r="G120" s="1141"/>
      <c r="H120" s="1141"/>
      <c r="I120" s="1141"/>
      <c r="J120" s="1141"/>
      <c r="K120" s="1135"/>
      <c r="L120" s="1141"/>
      <c r="M120" s="1141"/>
      <c r="N120" s="1141"/>
      <c r="O120" s="1141"/>
      <c r="P120" s="1141"/>
      <c r="Q120" s="1141"/>
      <c r="R120" s="1141"/>
      <c r="S120" s="1141"/>
      <c r="T120" s="1141"/>
      <c r="U120" s="1135"/>
      <c r="V120" s="1141"/>
      <c r="W120" s="1141"/>
      <c r="X120" s="1141"/>
      <c r="Y120" s="1141"/>
      <c r="Z120" s="1141"/>
      <c r="AA120" s="1141"/>
      <c r="AB120" s="1141"/>
      <c r="AC120" s="1141"/>
      <c r="AD120" s="1141"/>
      <c r="AE120" s="1135"/>
      <c r="AF120" s="1141"/>
      <c r="AG120" s="1135"/>
      <c r="AH120" s="1141"/>
      <c r="AI120" s="1141"/>
      <c r="AJ120" s="1142"/>
      <c r="AK120" s="1137">
        <f t="shared" si="9"/>
        <v>0</v>
      </c>
      <c r="AL120" s="1137">
        <f t="shared" si="9"/>
        <v>0</v>
      </c>
    </row>
    <row r="121" spans="1:38" hidden="1" outlineLevel="2" x14ac:dyDescent="0.3">
      <c r="A121" s="1130"/>
      <c r="B121" s="1138"/>
      <c r="C121" s="1139"/>
      <c r="D121" s="1140"/>
      <c r="E121" s="1134"/>
      <c r="F121" s="1141"/>
      <c r="G121" s="1141"/>
      <c r="H121" s="1141"/>
      <c r="I121" s="1141"/>
      <c r="J121" s="1141"/>
      <c r="K121" s="1135"/>
      <c r="L121" s="1141"/>
      <c r="M121" s="1141"/>
      <c r="N121" s="1141"/>
      <c r="O121" s="1141"/>
      <c r="P121" s="1141"/>
      <c r="Q121" s="1141"/>
      <c r="R121" s="1141"/>
      <c r="S121" s="1141"/>
      <c r="T121" s="1141"/>
      <c r="U121" s="1135"/>
      <c r="V121" s="1141"/>
      <c r="W121" s="1141"/>
      <c r="X121" s="1141"/>
      <c r="Y121" s="1141"/>
      <c r="Z121" s="1141"/>
      <c r="AA121" s="1141"/>
      <c r="AB121" s="1141"/>
      <c r="AC121" s="1141"/>
      <c r="AD121" s="1141"/>
      <c r="AE121" s="1135"/>
      <c r="AF121" s="1141"/>
      <c r="AG121" s="1135"/>
      <c r="AH121" s="1141"/>
      <c r="AI121" s="1141"/>
      <c r="AJ121" s="1142"/>
      <c r="AK121" s="1137">
        <f t="shared" si="9"/>
        <v>0</v>
      </c>
      <c r="AL121" s="1137">
        <f t="shared" si="9"/>
        <v>0</v>
      </c>
    </row>
    <row r="122" spans="1:38" hidden="1" outlineLevel="2" x14ac:dyDescent="0.3">
      <c r="A122" s="1130"/>
      <c r="B122" s="1138"/>
      <c r="C122" s="1139"/>
      <c r="D122" s="1140"/>
      <c r="E122" s="1134"/>
      <c r="F122" s="1141"/>
      <c r="G122" s="1141"/>
      <c r="H122" s="1141"/>
      <c r="I122" s="1141"/>
      <c r="J122" s="1141"/>
      <c r="K122" s="1135"/>
      <c r="L122" s="1141"/>
      <c r="M122" s="1141"/>
      <c r="N122" s="1141"/>
      <c r="O122" s="1141"/>
      <c r="P122" s="1141"/>
      <c r="Q122" s="1141"/>
      <c r="R122" s="1141"/>
      <c r="S122" s="1141"/>
      <c r="T122" s="1141"/>
      <c r="U122" s="1135"/>
      <c r="V122" s="1141"/>
      <c r="W122" s="1141"/>
      <c r="X122" s="1141"/>
      <c r="Y122" s="1141"/>
      <c r="Z122" s="1141"/>
      <c r="AA122" s="1141"/>
      <c r="AB122" s="1141"/>
      <c r="AC122" s="1141"/>
      <c r="AD122" s="1141"/>
      <c r="AE122" s="1135"/>
      <c r="AF122" s="1141"/>
      <c r="AG122" s="1135"/>
      <c r="AH122" s="1141"/>
      <c r="AI122" s="1141"/>
      <c r="AJ122" s="1142"/>
      <c r="AK122" s="1137">
        <f t="shared" si="9"/>
        <v>0</v>
      </c>
      <c r="AL122" s="1137">
        <f t="shared" si="9"/>
        <v>0</v>
      </c>
    </row>
    <row r="123" spans="1:38" hidden="1" outlineLevel="2" x14ac:dyDescent="0.3">
      <c r="A123" s="1130"/>
      <c r="B123" s="1138"/>
      <c r="C123" s="1139"/>
      <c r="D123" s="1140"/>
      <c r="E123" s="1134"/>
      <c r="F123" s="1141"/>
      <c r="G123" s="1141"/>
      <c r="H123" s="1141"/>
      <c r="I123" s="1141"/>
      <c r="J123" s="1141"/>
      <c r="K123" s="1135"/>
      <c r="L123" s="1141"/>
      <c r="M123" s="1141"/>
      <c r="N123" s="1141"/>
      <c r="O123" s="1141"/>
      <c r="P123" s="1141"/>
      <c r="Q123" s="1141"/>
      <c r="R123" s="1141"/>
      <c r="S123" s="1141"/>
      <c r="T123" s="1141"/>
      <c r="U123" s="1135"/>
      <c r="V123" s="1141"/>
      <c r="W123" s="1141"/>
      <c r="X123" s="1141"/>
      <c r="Y123" s="1141"/>
      <c r="Z123" s="1141"/>
      <c r="AA123" s="1141"/>
      <c r="AB123" s="1141"/>
      <c r="AC123" s="1141"/>
      <c r="AD123" s="1141"/>
      <c r="AE123" s="1135"/>
      <c r="AF123" s="1141"/>
      <c r="AG123" s="1135"/>
      <c r="AH123" s="1141"/>
      <c r="AI123" s="1141"/>
      <c r="AJ123" s="1142"/>
      <c r="AK123" s="1137">
        <f t="shared" si="9"/>
        <v>0</v>
      </c>
      <c r="AL123" s="1137">
        <f t="shared" si="9"/>
        <v>0</v>
      </c>
    </row>
    <row r="124" spans="1:38" hidden="1" outlineLevel="2" x14ac:dyDescent="0.3">
      <c r="A124" s="1130"/>
      <c r="B124" s="1138"/>
      <c r="C124" s="1139"/>
      <c r="D124" s="1140"/>
      <c r="E124" s="1134"/>
      <c r="F124" s="1141"/>
      <c r="G124" s="1141"/>
      <c r="H124" s="1141"/>
      <c r="I124" s="1141"/>
      <c r="J124" s="1141"/>
      <c r="K124" s="1135"/>
      <c r="L124" s="1141"/>
      <c r="M124" s="1141"/>
      <c r="N124" s="1141"/>
      <c r="O124" s="1141"/>
      <c r="P124" s="1141"/>
      <c r="Q124" s="1141"/>
      <c r="R124" s="1141"/>
      <c r="S124" s="1141"/>
      <c r="T124" s="1141"/>
      <c r="U124" s="1135"/>
      <c r="V124" s="1141"/>
      <c r="W124" s="1141"/>
      <c r="X124" s="1141"/>
      <c r="Y124" s="1141"/>
      <c r="Z124" s="1141"/>
      <c r="AA124" s="1141"/>
      <c r="AB124" s="1141"/>
      <c r="AC124" s="1141"/>
      <c r="AD124" s="1141"/>
      <c r="AE124" s="1135"/>
      <c r="AF124" s="1141"/>
      <c r="AG124" s="1135"/>
      <c r="AH124" s="1141"/>
      <c r="AI124" s="1141"/>
      <c r="AJ124" s="1142"/>
      <c r="AK124" s="1137">
        <f t="shared" si="9"/>
        <v>0</v>
      </c>
      <c r="AL124" s="1137">
        <f t="shared" si="9"/>
        <v>0</v>
      </c>
    </row>
    <row r="125" spans="1:38" hidden="1" outlineLevel="2" x14ac:dyDescent="0.3">
      <c r="A125" s="1130"/>
      <c r="B125" s="1138"/>
      <c r="C125" s="1139"/>
      <c r="D125" s="1140"/>
      <c r="E125" s="1134"/>
      <c r="F125" s="1141"/>
      <c r="G125" s="1141"/>
      <c r="H125" s="1141"/>
      <c r="I125" s="1141"/>
      <c r="J125" s="1141"/>
      <c r="K125" s="1135"/>
      <c r="L125" s="1141"/>
      <c r="M125" s="1141"/>
      <c r="N125" s="1141"/>
      <c r="O125" s="1141"/>
      <c r="P125" s="1141"/>
      <c r="Q125" s="1141"/>
      <c r="R125" s="1141"/>
      <c r="S125" s="1141"/>
      <c r="T125" s="1141"/>
      <c r="U125" s="1135"/>
      <c r="V125" s="1141"/>
      <c r="W125" s="1141"/>
      <c r="X125" s="1141"/>
      <c r="Y125" s="1141"/>
      <c r="Z125" s="1141"/>
      <c r="AA125" s="1141"/>
      <c r="AB125" s="1141"/>
      <c r="AC125" s="1141"/>
      <c r="AD125" s="1141"/>
      <c r="AE125" s="1135"/>
      <c r="AF125" s="1141"/>
      <c r="AG125" s="1135"/>
      <c r="AH125" s="1141"/>
      <c r="AI125" s="1141"/>
      <c r="AJ125" s="1142"/>
      <c r="AK125" s="1137">
        <f t="shared" si="9"/>
        <v>0</v>
      </c>
      <c r="AL125" s="1137">
        <f t="shared" si="9"/>
        <v>0</v>
      </c>
    </row>
    <row r="126" spans="1:38" hidden="1" outlineLevel="2" x14ac:dyDescent="0.3">
      <c r="A126" s="1130"/>
      <c r="B126" s="1138"/>
      <c r="C126" s="1139"/>
      <c r="D126" s="1140"/>
      <c r="E126" s="1134"/>
      <c r="F126" s="1141"/>
      <c r="G126" s="1141"/>
      <c r="H126" s="1141"/>
      <c r="I126" s="1141"/>
      <c r="J126" s="1141"/>
      <c r="K126" s="1135"/>
      <c r="L126" s="1141"/>
      <c r="M126" s="1141"/>
      <c r="N126" s="1141"/>
      <c r="O126" s="1141"/>
      <c r="P126" s="1141"/>
      <c r="Q126" s="1141"/>
      <c r="R126" s="1141"/>
      <c r="S126" s="1141"/>
      <c r="T126" s="1141"/>
      <c r="U126" s="1135"/>
      <c r="V126" s="1141"/>
      <c r="W126" s="1141"/>
      <c r="X126" s="1141"/>
      <c r="Y126" s="1141"/>
      <c r="Z126" s="1141"/>
      <c r="AA126" s="1141"/>
      <c r="AB126" s="1141"/>
      <c r="AC126" s="1141"/>
      <c r="AD126" s="1141"/>
      <c r="AE126" s="1135"/>
      <c r="AF126" s="1141"/>
      <c r="AG126" s="1135"/>
      <c r="AH126" s="1141"/>
      <c r="AI126" s="1141"/>
      <c r="AJ126" s="1142"/>
      <c r="AK126" s="1137">
        <f t="shared" si="9"/>
        <v>0</v>
      </c>
      <c r="AL126" s="1137">
        <f t="shared" si="9"/>
        <v>0</v>
      </c>
    </row>
    <row r="127" spans="1:38" hidden="1" outlineLevel="2" x14ac:dyDescent="0.3">
      <c r="A127" s="1130"/>
      <c r="B127" s="1138"/>
      <c r="C127" s="1139"/>
      <c r="D127" s="1140"/>
      <c r="E127" s="1134"/>
      <c r="F127" s="1141"/>
      <c r="G127" s="1141"/>
      <c r="H127" s="1141"/>
      <c r="I127" s="1141"/>
      <c r="J127" s="1141"/>
      <c r="K127" s="1135"/>
      <c r="L127" s="1141"/>
      <c r="M127" s="1141"/>
      <c r="N127" s="1141"/>
      <c r="O127" s="1141"/>
      <c r="P127" s="1141"/>
      <c r="Q127" s="1141"/>
      <c r="R127" s="1141"/>
      <c r="S127" s="1141"/>
      <c r="T127" s="1141"/>
      <c r="U127" s="1135"/>
      <c r="V127" s="1141"/>
      <c r="W127" s="1141"/>
      <c r="X127" s="1141"/>
      <c r="Y127" s="1141"/>
      <c r="Z127" s="1141"/>
      <c r="AA127" s="1141"/>
      <c r="AB127" s="1141"/>
      <c r="AC127" s="1141"/>
      <c r="AD127" s="1141"/>
      <c r="AE127" s="1135"/>
      <c r="AF127" s="1141"/>
      <c r="AG127" s="1135"/>
      <c r="AH127" s="1141"/>
      <c r="AI127" s="1141"/>
      <c r="AJ127" s="1142"/>
      <c r="AK127" s="1137">
        <f t="shared" si="9"/>
        <v>0</v>
      </c>
      <c r="AL127" s="1137">
        <f t="shared" si="9"/>
        <v>0</v>
      </c>
    </row>
    <row r="128" spans="1:38" hidden="1" outlineLevel="2" x14ac:dyDescent="0.3">
      <c r="A128" s="1130"/>
      <c r="B128" s="1138"/>
      <c r="C128" s="1139"/>
      <c r="D128" s="1140"/>
      <c r="E128" s="1134"/>
      <c r="F128" s="1141"/>
      <c r="G128" s="1141"/>
      <c r="H128" s="1141"/>
      <c r="I128" s="1141"/>
      <c r="J128" s="1141"/>
      <c r="K128" s="1135"/>
      <c r="L128" s="1141"/>
      <c r="M128" s="1141"/>
      <c r="N128" s="1141"/>
      <c r="O128" s="1141"/>
      <c r="P128" s="1141"/>
      <c r="Q128" s="1141"/>
      <c r="R128" s="1141"/>
      <c r="S128" s="1141"/>
      <c r="T128" s="1141"/>
      <c r="U128" s="1135"/>
      <c r="V128" s="1141"/>
      <c r="W128" s="1141"/>
      <c r="X128" s="1141"/>
      <c r="Y128" s="1141"/>
      <c r="Z128" s="1141"/>
      <c r="AA128" s="1141"/>
      <c r="AB128" s="1141"/>
      <c r="AC128" s="1141"/>
      <c r="AD128" s="1141"/>
      <c r="AE128" s="1135"/>
      <c r="AF128" s="1141"/>
      <c r="AG128" s="1135"/>
      <c r="AH128" s="1141"/>
      <c r="AI128" s="1141"/>
      <c r="AJ128" s="1142"/>
      <c r="AK128" s="1137">
        <f t="shared" si="9"/>
        <v>0</v>
      </c>
      <c r="AL128" s="1137">
        <f t="shared" si="9"/>
        <v>0</v>
      </c>
    </row>
    <row r="129" spans="1:38" hidden="1" outlineLevel="2" x14ac:dyDescent="0.3">
      <c r="A129" s="1130"/>
      <c r="B129" s="1138"/>
      <c r="C129" s="1139"/>
      <c r="D129" s="1140"/>
      <c r="E129" s="1134"/>
      <c r="F129" s="1141"/>
      <c r="G129" s="1141"/>
      <c r="H129" s="1141"/>
      <c r="I129" s="1141"/>
      <c r="J129" s="1141"/>
      <c r="K129" s="1135"/>
      <c r="L129" s="1141"/>
      <c r="M129" s="1141"/>
      <c r="N129" s="1141"/>
      <c r="O129" s="1141"/>
      <c r="P129" s="1141"/>
      <c r="Q129" s="1141"/>
      <c r="R129" s="1141"/>
      <c r="S129" s="1141"/>
      <c r="T129" s="1141"/>
      <c r="U129" s="1135"/>
      <c r="V129" s="1141"/>
      <c r="W129" s="1141"/>
      <c r="X129" s="1141"/>
      <c r="Y129" s="1141"/>
      <c r="Z129" s="1141"/>
      <c r="AA129" s="1141"/>
      <c r="AB129" s="1141"/>
      <c r="AC129" s="1141"/>
      <c r="AD129" s="1141"/>
      <c r="AE129" s="1135"/>
      <c r="AF129" s="1141"/>
      <c r="AG129" s="1135"/>
      <c r="AH129" s="1141"/>
      <c r="AI129" s="1141"/>
      <c r="AJ129" s="1142"/>
      <c r="AK129" s="1137">
        <f t="shared" si="9"/>
        <v>0</v>
      </c>
      <c r="AL129" s="1137">
        <f t="shared" si="9"/>
        <v>0</v>
      </c>
    </row>
    <row r="130" spans="1:38" hidden="1" outlineLevel="2" x14ac:dyDescent="0.3">
      <c r="A130" s="1130"/>
      <c r="B130" s="1138"/>
      <c r="C130" s="1139"/>
      <c r="D130" s="1140"/>
      <c r="E130" s="1134"/>
      <c r="F130" s="1141"/>
      <c r="G130" s="1141"/>
      <c r="H130" s="1141"/>
      <c r="I130" s="1141"/>
      <c r="J130" s="1141"/>
      <c r="K130" s="1135"/>
      <c r="L130" s="1141"/>
      <c r="M130" s="1141"/>
      <c r="N130" s="1141"/>
      <c r="O130" s="1141"/>
      <c r="P130" s="1141"/>
      <c r="Q130" s="1141"/>
      <c r="R130" s="1141"/>
      <c r="S130" s="1141"/>
      <c r="T130" s="1141"/>
      <c r="U130" s="1135"/>
      <c r="V130" s="1141"/>
      <c r="W130" s="1141"/>
      <c r="X130" s="1141"/>
      <c r="Y130" s="1141"/>
      <c r="Z130" s="1141"/>
      <c r="AA130" s="1141"/>
      <c r="AB130" s="1141"/>
      <c r="AC130" s="1141"/>
      <c r="AD130" s="1141"/>
      <c r="AE130" s="1135"/>
      <c r="AF130" s="1141"/>
      <c r="AG130" s="1135"/>
      <c r="AH130" s="1141"/>
      <c r="AI130" s="1141"/>
      <c r="AJ130" s="1142"/>
      <c r="AK130" s="1137">
        <f t="shared" si="9"/>
        <v>0</v>
      </c>
      <c r="AL130" s="1137">
        <f t="shared" si="9"/>
        <v>0</v>
      </c>
    </row>
    <row r="131" spans="1:38" hidden="1" outlineLevel="2" x14ac:dyDescent="0.3">
      <c r="A131" s="1130"/>
      <c r="B131" s="1138"/>
      <c r="C131" s="1139"/>
      <c r="D131" s="1140"/>
      <c r="E131" s="1134"/>
      <c r="F131" s="1141"/>
      <c r="G131" s="1141"/>
      <c r="H131" s="1141"/>
      <c r="I131" s="1141"/>
      <c r="J131" s="1141"/>
      <c r="K131" s="1135"/>
      <c r="L131" s="1141"/>
      <c r="M131" s="1141"/>
      <c r="N131" s="1141"/>
      <c r="O131" s="1141"/>
      <c r="P131" s="1141"/>
      <c r="Q131" s="1141"/>
      <c r="R131" s="1141"/>
      <c r="S131" s="1141"/>
      <c r="T131" s="1141"/>
      <c r="U131" s="1135"/>
      <c r="V131" s="1141"/>
      <c r="W131" s="1141"/>
      <c r="X131" s="1141"/>
      <c r="Y131" s="1141"/>
      <c r="Z131" s="1141"/>
      <c r="AA131" s="1141"/>
      <c r="AB131" s="1141"/>
      <c r="AC131" s="1141"/>
      <c r="AD131" s="1141"/>
      <c r="AE131" s="1135"/>
      <c r="AF131" s="1141"/>
      <c r="AG131" s="1135"/>
      <c r="AH131" s="1141"/>
      <c r="AI131" s="1141"/>
      <c r="AJ131" s="1142"/>
      <c r="AK131" s="1137">
        <f t="shared" si="9"/>
        <v>0</v>
      </c>
      <c r="AL131" s="1137">
        <f t="shared" si="9"/>
        <v>0</v>
      </c>
    </row>
    <row r="132" spans="1:38" hidden="1" outlineLevel="2" x14ac:dyDescent="0.3">
      <c r="A132" s="1130"/>
      <c r="B132" s="1138"/>
      <c r="C132" s="1139"/>
      <c r="D132" s="1140"/>
      <c r="E132" s="1134"/>
      <c r="F132" s="1141"/>
      <c r="G132" s="1141"/>
      <c r="H132" s="1141"/>
      <c r="I132" s="1141"/>
      <c r="J132" s="1141"/>
      <c r="K132" s="1135"/>
      <c r="L132" s="1141"/>
      <c r="M132" s="1141"/>
      <c r="N132" s="1141"/>
      <c r="O132" s="1141"/>
      <c r="P132" s="1141"/>
      <c r="Q132" s="1141"/>
      <c r="R132" s="1141"/>
      <c r="S132" s="1141"/>
      <c r="T132" s="1141"/>
      <c r="U132" s="1135"/>
      <c r="V132" s="1141"/>
      <c r="W132" s="1141"/>
      <c r="X132" s="1141"/>
      <c r="Y132" s="1141"/>
      <c r="Z132" s="1141"/>
      <c r="AA132" s="1141"/>
      <c r="AB132" s="1141"/>
      <c r="AC132" s="1141"/>
      <c r="AD132" s="1141"/>
      <c r="AE132" s="1135"/>
      <c r="AF132" s="1141"/>
      <c r="AG132" s="1135"/>
      <c r="AH132" s="1141"/>
      <c r="AI132" s="1141"/>
      <c r="AJ132" s="1142"/>
      <c r="AK132" s="1137">
        <f t="shared" si="9"/>
        <v>0</v>
      </c>
      <c r="AL132" s="1137">
        <f t="shared" si="9"/>
        <v>0</v>
      </c>
    </row>
    <row r="133" spans="1:38" hidden="1" outlineLevel="2" x14ac:dyDescent="0.3">
      <c r="A133" s="1130"/>
      <c r="B133" s="1138"/>
      <c r="C133" s="1139"/>
      <c r="D133" s="1140"/>
      <c r="E133" s="1134"/>
      <c r="F133" s="1141"/>
      <c r="G133" s="1141"/>
      <c r="H133" s="1141"/>
      <c r="I133" s="1141"/>
      <c r="J133" s="1141"/>
      <c r="K133" s="1135"/>
      <c r="L133" s="1141"/>
      <c r="M133" s="1141"/>
      <c r="N133" s="1141"/>
      <c r="O133" s="1141"/>
      <c r="P133" s="1141"/>
      <c r="Q133" s="1141"/>
      <c r="R133" s="1141"/>
      <c r="S133" s="1141"/>
      <c r="T133" s="1141"/>
      <c r="U133" s="1135"/>
      <c r="V133" s="1141"/>
      <c r="W133" s="1141"/>
      <c r="X133" s="1141"/>
      <c r="Y133" s="1141"/>
      <c r="Z133" s="1141"/>
      <c r="AA133" s="1141"/>
      <c r="AB133" s="1141"/>
      <c r="AC133" s="1141"/>
      <c r="AD133" s="1141"/>
      <c r="AE133" s="1135"/>
      <c r="AF133" s="1141"/>
      <c r="AG133" s="1135"/>
      <c r="AH133" s="1141"/>
      <c r="AI133" s="1141"/>
      <c r="AJ133" s="1142"/>
      <c r="AK133" s="1137">
        <f t="shared" si="9"/>
        <v>0</v>
      </c>
      <c r="AL133" s="1137">
        <f t="shared" si="9"/>
        <v>0</v>
      </c>
    </row>
    <row r="134" spans="1:38" hidden="1" outlineLevel="2" x14ac:dyDescent="0.3">
      <c r="A134" s="1130"/>
      <c r="B134" s="1138"/>
      <c r="C134" s="1139"/>
      <c r="D134" s="1140"/>
      <c r="E134" s="1134"/>
      <c r="F134" s="1141"/>
      <c r="G134" s="1141"/>
      <c r="H134" s="1141"/>
      <c r="I134" s="1141"/>
      <c r="J134" s="1141"/>
      <c r="K134" s="1135"/>
      <c r="L134" s="1141"/>
      <c r="M134" s="1141"/>
      <c r="N134" s="1141"/>
      <c r="O134" s="1141"/>
      <c r="P134" s="1141"/>
      <c r="Q134" s="1141"/>
      <c r="R134" s="1141"/>
      <c r="S134" s="1141"/>
      <c r="T134" s="1141"/>
      <c r="U134" s="1135"/>
      <c r="V134" s="1141"/>
      <c r="W134" s="1141"/>
      <c r="X134" s="1141"/>
      <c r="Y134" s="1141"/>
      <c r="Z134" s="1141"/>
      <c r="AA134" s="1141"/>
      <c r="AB134" s="1141"/>
      <c r="AC134" s="1141"/>
      <c r="AD134" s="1141"/>
      <c r="AE134" s="1135"/>
      <c r="AF134" s="1141"/>
      <c r="AG134" s="1135"/>
      <c r="AH134" s="1141"/>
      <c r="AI134" s="1141"/>
      <c r="AJ134" s="1142"/>
      <c r="AK134" s="1137">
        <f t="shared" si="9"/>
        <v>0</v>
      </c>
      <c r="AL134" s="1137">
        <f t="shared" si="9"/>
        <v>0</v>
      </c>
    </row>
    <row r="135" spans="1:38" hidden="1" outlineLevel="2" x14ac:dyDescent="0.3">
      <c r="A135" s="1130"/>
      <c r="B135" s="1138"/>
      <c r="C135" s="1139"/>
      <c r="D135" s="1140"/>
      <c r="E135" s="1134"/>
      <c r="F135" s="1141"/>
      <c r="G135" s="1141"/>
      <c r="H135" s="1141"/>
      <c r="I135" s="1141"/>
      <c r="J135" s="1141"/>
      <c r="K135" s="1135"/>
      <c r="L135" s="1141"/>
      <c r="M135" s="1141"/>
      <c r="N135" s="1141"/>
      <c r="O135" s="1141"/>
      <c r="P135" s="1141"/>
      <c r="Q135" s="1141"/>
      <c r="R135" s="1141"/>
      <c r="S135" s="1141"/>
      <c r="T135" s="1141"/>
      <c r="U135" s="1135"/>
      <c r="V135" s="1141"/>
      <c r="W135" s="1141"/>
      <c r="X135" s="1141"/>
      <c r="Y135" s="1141"/>
      <c r="Z135" s="1141"/>
      <c r="AA135" s="1141"/>
      <c r="AB135" s="1141"/>
      <c r="AC135" s="1141"/>
      <c r="AD135" s="1141"/>
      <c r="AE135" s="1135"/>
      <c r="AF135" s="1141"/>
      <c r="AG135" s="1135"/>
      <c r="AH135" s="1141"/>
      <c r="AI135" s="1141"/>
      <c r="AJ135" s="1142"/>
      <c r="AK135" s="1137">
        <f t="shared" si="9"/>
        <v>0</v>
      </c>
      <c r="AL135" s="1137">
        <f t="shared" si="9"/>
        <v>0</v>
      </c>
    </row>
    <row r="136" spans="1:38" hidden="1" outlineLevel="2" x14ac:dyDescent="0.3">
      <c r="A136" s="1130"/>
      <c r="B136" s="1138"/>
      <c r="C136" s="1139"/>
      <c r="D136" s="1140"/>
      <c r="E136" s="1134"/>
      <c r="F136" s="1141"/>
      <c r="G136" s="1141"/>
      <c r="H136" s="1141"/>
      <c r="I136" s="1141"/>
      <c r="J136" s="1141"/>
      <c r="K136" s="1135"/>
      <c r="L136" s="1141"/>
      <c r="M136" s="1141"/>
      <c r="N136" s="1141"/>
      <c r="O136" s="1141"/>
      <c r="P136" s="1141"/>
      <c r="Q136" s="1141"/>
      <c r="R136" s="1141"/>
      <c r="S136" s="1141"/>
      <c r="T136" s="1141"/>
      <c r="U136" s="1135"/>
      <c r="V136" s="1141"/>
      <c r="W136" s="1141"/>
      <c r="X136" s="1141"/>
      <c r="Y136" s="1141"/>
      <c r="Z136" s="1141"/>
      <c r="AA136" s="1141"/>
      <c r="AB136" s="1141"/>
      <c r="AC136" s="1141"/>
      <c r="AD136" s="1141"/>
      <c r="AE136" s="1135"/>
      <c r="AF136" s="1141"/>
      <c r="AG136" s="1135"/>
      <c r="AH136" s="1141"/>
      <c r="AI136" s="1141"/>
      <c r="AJ136" s="1142"/>
      <c r="AK136" s="1137">
        <f t="shared" si="9"/>
        <v>0</v>
      </c>
      <c r="AL136" s="1137">
        <f t="shared" si="9"/>
        <v>0</v>
      </c>
    </row>
    <row r="137" spans="1:38" hidden="1" outlineLevel="2" x14ac:dyDescent="0.3">
      <c r="A137" s="1130"/>
      <c r="B137" s="1138"/>
      <c r="C137" s="1139"/>
      <c r="D137" s="1140"/>
      <c r="E137" s="1134"/>
      <c r="F137" s="1141"/>
      <c r="G137" s="1141"/>
      <c r="H137" s="1141"/>
      <c r="I137" s="1141"/>
      <c r="J137" s="1141"/>
      <c r="K137" s="1135"/>
      <c r="L137" s="1141"/>
      <c r="M137" s="1141"/>
      <c r="N137" s="1141"/>
      <c r="O137" s="1141"/>
      <c r="P137" s="1141"/>
      <c r="Q137" s="1141"/>
      <c r="R137" s="1141"/>
      <c r="S137" s="1141"/>
      <c r="T137" s="1141"/>
      <c r="U137" s="1135"/>
      <c r="V137" s="1141"/>
      <c r="W137" s="1141"/>
      <c r="X137" s="1141"/>
      <c r="Y137" s="1141"/>
      <c r="Z137" s="1141"/>
      <c r="AA137" s="1141"/>
      <c r="AB137" s="1141"/>
      <c r="AC137" s="1141"/>
      <c r="AD137" s="1141"/>
      <c r="AE137" s="1135"/>
      <c r="AF137" s="1141"/>
      <c r="AG137" s="1135"/>
      <c r="AH137" s="1141"/>
      <c r="AI137" s="1141"/>
      <c r="AJ137" s="1142"/>
      <c r="AK137" s="1137">
        <f t="shared" si="9"/>
        <v>0</v>
      </c>
      <c r="AL137" s="1137">
        <f t="shared" si="9"/>
        <v>0</v>
      </c>
    </row>
    <row r="138" spans="1:38" hidden="1" outlineLevel="2" x14ac:dyDescent="0.3">
      <c r="A138" s="1130"/>
      <c r="B138" s="1138"/>
      <c r="C138" s="1139"/>
      <c r="D138" s="1140"/>
      <c r="E138" s="1134"/>
      <c r="F138" s="1141"/>
      <c r="G138" s="1141"/>
      <c r="H138" s="1141"/>
      <c r="I138" s="1141"/>
      <c r="J138" s="1141"/>
      <c r="K138" s="1135"/>
      <c r="L138" s="1141"/>
      <c r="M138" s="1141"/>
      <c r="N138" s="1141"/>
      <c r="O138" s="1141"/>
      <c r="P138" s="1141"/>
      <c r="Q138" s="1141"/>
      <c r="R138" s="1141"/>
      <c r="S138" s="1141"/>
      <c r="T138" s="1141"/>
      <c r="U138" s="1135"/>
      <c r="V138" s="1141"/>
      <c r="W138" s="1141"/>
      <c r="X138" s="1141"/>
      <c r="Y138" s="1141"/>
      <c r="Z138" s="1141"/>
      <c r="AA138" s="1141"/>
      <c r="AB138" s="1141"/>
      <c r="AC138" s="1141"/>
      <c r="AD138" s="1141"/>
      <c r="AE138" s="1135"/>
      <c r="AF138" s="1141"/>
      <c r="AG138" s="1135"/>
      <c r="AH138" s="1141"/>
      <c r="AI138" s="1141"/>
      <c r="AJ138" s="1142"/>
      <c r="AK138" s="1137">
        <f t="shared" si="9"/>
        <v>0</v>
      </c>
      <c r="AL138" s="1137">
        <f t="shared" si="9"/>
        <v>0</v>
      </c>
    </row>
    <row r="139" spans="1:38" hidden="1" outlineLevel="2" x14ac:dyDescent="0.3">
      <c r="A139" s="1130"/>
      <c r="B139" s="1138"/>
      <c r="C139" s="1139"/>
      <c r="D139" s="1140"/>
      <c r="E139" s="1134"/>
      <c r="F139" s="1141"/>
      <c r="G139" s="1141"/>
      <c r="H139" s="1141"/>
      <c r="I139" s="1141"/>
      <c r="J139" s="1141"/>
      <c r="K139" s="1135"/>
      <c r="L139" s="1141"/>
      <c r="M139" s="1141"/>
      <c r="N139" s="1141"/>
      <c r="O139" s="1141"/>
      <c r="P139" s="1141"/>
      <c r="Q139" s="1141"/>
      <c r="R139" s="1141"/>
      <c r="S139" s="1141"/>
      <c r="T139" s="1141"/>
      <c r="U139" s="1135"/>
      <c r="V139" s="1141"/>
      <c r="W139" s="1141"/>
      <c r="X139" s="1141"/>
      <c r="Y139" s="1141"/>
      <c r="Z139" s="1141"/>
      <c r="AA139" s="1141"/>
      <c r="AB139" s="1141"/>
      <c r="AC139" s="1141"/>
      <c r="AD139" s="1141"/>
      <c r="AE139" s="1135"/>
      <c r="AF139" s="1141"/>
      <c r="AG139" s="1135"/>
      <c r="AH139" s="1141"/>
      <c r="AI139" s="1141"/>
      <c r="AJ139" s="1142"/>
      <c r="AK139" s="1137">
        <f t="shared" si="9"/>
        <v>0</v>
      </c>
      <c r="AL139" s="1137">
        <f t="shared" si="9"/>
        <v>0</v>
      </c>
    </row>
    <row r="140" spans="1:38" hidden="1" outlineLevel="2" x14ac:dyDescent="0.3">
      <c r="A140" s="1130"/>
      <c r="B140" s="1138"/>
      <c r="C140" s="1139"/>
      <c r="D140" s="1140"/>
      <c r="E140" s="1134"/>
      <c r="F140" s="1141"/>
      <c r="G140" s="1141"/>
      <c r="H140" s="1141"/>
      <c r="I140" s="1141"/>
      <c r="J140" s="1141"/>
      <c r="K140" s="1135"/>
      <c r="L140" s="1141"/>
      <c r="M140" s="1141"/>
      <c r="N140" s="1141"/>
      <c r="O140" s="1141"/>
      <c r="P140" s="1141"/>
      <c r="Q140" s="1141"/>
      <c r="R140" s="1141"/>
      <c r="S140" s="1141"/>
      <c r="T140" s="1141"/>
      <c r="U140" s="1135"/>
      <c r="V140" s="1141"/>
      <c r="W140" s="1141"/>
      <c r="X140" s="1141"/>
      <c r="Y140" s="1141"/>
      <c r="Z140" s="1141"/>
      <c r="AA140" s="1141"/>
      <c r="AB140" s="1141"/>
      <c r="AC140" s="1141"/>
      <c r="AD140" s="1141"/>
      <c r="AE140" s="1135"/>
      <c r="AF140" s="1141"/>
      <c r="AG140" s="1135"/>
      <c r="AH140" s="1141"/>
      <c r="AI140" s="1141"/>
      <c r="AJ140" s="1142"/>
      <c r="AK140" s="1137">
        <f t="shared" si="9"/>
        <v>0</v>
      </c>
      <c r="AL140" s="1137">
        <f t="shared" si="9"/>
        <v>0</v>
      </c>
    </row>
    <row r="141" spans="1:38" hidden="1" outlineLevel="2" x14ac:dyDescent="0.3">
      <c r="A141" s="1130"/>
      <c r="B141" s="1138"/>
      <c r="C141" s="1139"/>
      <c r="D141" s="1140"/>
      <c r="E141" s="1134"/>
      <c r="F141" s="1141"/>
      <c r="G141" s="1141"/>
      <c r="H141" s="1141"/>
      <c r="I141" s="1141"/>
      <c r="J141" s="1141"/>
      <c r="K141" s="1135"/>
      <c r="L141" s="1141"/>
      <c r="M141" s="1141"/>
      <c r="N141" s="1141"/>
      <c r="O141" s="1141"/>
      <c r="P141" s="1141"/>
      <c r="Q141" s="1141"/>
      <c r="R141" s="1141"/>
      <c r="S141" s="1141"/>
      <c r="T141" s="1141"/>
      <c r="U141" s="1135"/>
      <c r="V141" s="1141"/>
      <c r="W141" s="1141"/>
      <c r="X141" s="1141"/>
      <c r="Y141" s="1141"/>
      <c r="Z141" s="1141"/>
      <c r="AA141" s="1141"/>
      <c r="AB141" s="1141"/>
      <c r="AC141" s="1141"/>
      <c r="AD141" s="1141"/>
      <c r="AE141" s="1135"/>
      <c r="AF141" s="1141"/>
      <c r="AG141" s="1135"/>
      <c r="AH141" s="1141"/>
      <c r="AI141" s="1141"/>
      <c r="AJ141" s="1142"/>
      <c r="AK141" s="1137">
        <f t="shared" si="9"/>
        <v>0</v>
      </c>
      <c r="AL141" s="1137">
        <f t="shared" si="9"/>
        <v>0</v>
      </c>
    </row>
    <row r="142" spans="1:38" hidden="1" outlineLevel="2" x14ac:dyDescent="0.3">
      <c r="A142" s="1130"/>
      <c r="B142" s="1138"/>
      <c r="C142" s="1139"/>
      <c r="D142" s="1140"/>
      <c r="E142" s="1134"/>
      <c r="F142" s="1141"/>
      <c r="G142" s="1141"/>
      <c r="H142" s="1141"/>
      <c r="I142" s="1141"/>
      <c r="J142" s="1141"/>
      <c r="K142" s="1135"/>
      <c r="L142" s="1141"/>
      <c r="M142" s="1141"/>
      <c r="N142" s="1141"/>
      <c r="O142" s="1141"/>
      <c r="P142" s="1141"/>
      <c r="Q142" s="1141"/>
      <c r="R142" s="1141"/>
      <c r="S142" s="1141"/>
      <c r="T142" s="1141"/>
      <c r="U142" s="1135"/>
      <c r="V142" s="1141"/>
      <c r="W142" s="1141"/>
      <c r="X142" s="1141"/>
      <c r="Y142" s="1141"/>
      <c r="Z142" s="1141"/>
      <c r="AA142" s="1141"/>
      <c r="AB142" s="1141"/>
      <c r="AC142" s="1141"/>
      <c r="AD142" s="1141"/>
      <c r="AE142" s="1135"/>
      <c r="AF142" s="1141"/>
      <c r="AG142" s="1135"/>
      <c r="AH142" s="1141"/>
      <c r="AI142" s="1141"/>
      <c r="AJ142" s="1142"/>
      <c r="AK142" s="1137">
        <f t="shared" si="9"/>
        <v>0</v>
      </c>
      <c r="AL142" s="1137">
        <f t="shared" si="9"/>
        <v>0</v>
      </c>
    </row>
    <row r="143" spans="1:38" hidden="1" outlineLevel="2" x14ac:dyDescent="0.3">
      <c r="A143" s="1130"/>
      <c r="B143" s="1138"/>
      <c r="C143" s="1139"/>
      <c r="D143" s="1140"/>
      <c r="E143" s="1134"/>
      <c r="F143" s="1141"/>
      <c r="G143" s="1141"/>
      <c r="H143" s="1141"/>
      <c r="I143" s="1141"/>
      <c r="J143" s="1141"/>
      <c r="K143" s="1135"/>
      <c r="L143" s="1141"/>
      <c r="M143" s="1141"/>
      <c r="N143" s="1141"/>
      <c r="O143" s="1141"/>
      <c r="P143" s="1141"/>
      <c r="Q143" s="1141"/>
      <c r="R143" s="1141"/>
      <c r="S143" s="1141"/>
      <c r="T143" s="1141"/>
      <c r="U143" s="1135"/>
      <c r="V143" s="1141"/>
      <c r="W143" s="1141"/>
      <c r="X143" s="1141"/>
      <c r="Y143" s="1141"/>
      <c r="Z143" s="1141"/>
      <c r="AA143" s="1141"/>
      <c r="AB143" s="1141"/>
      <c r="AC143" s="1141"/>
      <c r="AD143" s="1141"/>
      <c r="AE143" s="1135"/>
      <c r="AF143" s="1141"/>
      <c r="AG143" s="1135"/>
      <c r="AH143" s="1141"/>
      <c r="AI143" s="1141"/>
      <c r="AJ143" s="1142"/>
      <c r="AK143" s="1137">
        <f t="shared" si="9"/>
        <v>0</v>
      </c>
      <c r="AL143" s="1137">
        <f t="shared" si="9"/>
        <v>0</v>
      </c>
    </row>
    <row r="144" spans="1:38" hidden="1" outlineLevel="2" x14ac:dyDescent="0.3">
      <c r="A144" s="1130"/>
      <c r="B144" s="1138"/>
      <c r="C144" s="1139"/>
      <c r="D144" s="1140"/>
      <c r="E144" s="1134"/>
      <c r="F144" s="1141"/>
      <c r="G144" s="1141"/>
      <c r="H144" s="1141"/>
      <c r="I144" s="1141"/>
      <c r="J144" s="1141"/>
      <c r="K144" s="1135"/>
      <c r="L144" s="1141"/>
      <c r="M144" s="1141"/>
      <c r="N144" s="1141"/>
      <c r="O144" s="1141"/>
      <c r="P144" s="1141"/>
      <c r="Q144" s="1141"/>
      <c r="R144" s="1141"/>
      <c r="S144" s="1141"/>
      <c r="T144" s="1141"/>
      <c r="U144" s="1135"/>
      <c r="V144" s="1141"/>
      <c r="W144" s="1141"/>
      <c r="X144" s="1141"/>
      <c r="Y144" s="1141"/>
      <c r="Z144" s="1141"/>
      <c r="AA144" s="1141"/>
      <c r="AB144" s="1141"/>
      <c r="AC144" s="1141"/>
      <c r="AD144" s="1141"/>
      <c r="AE144" s="1135"/>
      <c r="AF144" s="1141"/>
      <c r="AG144" s="1135"/>
      <c r="AH144" s="1141"/>
      <c r="AI144" s="1141"/>
      <c r="AJ144" s="1142"/>
      <c r="AK144" s="1137">
        <f t="shared" si="9"/>
        <v>0</v>
      </c>
      <c r="AL144" s="1137">
        <f t="shared" si="9"/>
        <v>0</v>
      </c>
    </row>
    <row r="145" spans="1:38" hidden="1" outlineLevel="2" x14ac:dyDescent="0.3">
      <c r="A145" s="1130"/>
      <c r="B145" s="1138"/>
      <c r="C145" s="1139"/>
      <c r="D145" s="1140"/>
      <c r="E145" s="1134"/>
      <c r="F145" s="1141"/>
      <c r="G145" s="1141"/>
      <c r="H145" s="1141"/>
      <c r="I145" s="1141"/>
      <c r="J145" s="1141"/>
      <c r="K145" s="1135"/>
      <c r="L145" s="1141"/>
      <c r="M145" s="1141"/>
      <c r="N145" s="1141"/>
      <c r="O145" s="1141"/>
      <c r="P145" s="1141"/>
      <c r="Q145" s="1141"/>
      <c r="R145" s="1141"/>
      <c r="S145" s="1141"/>
      <c r="T145" s="1141"/>
      <c r="U145" s="1135"/>
      <c r="V145" s="1141"/>
      <c r="W145" s="1141"/>
      <c r="X145" s="1141"/>
      <c r="Y145" s="1141"/>
      <c r="Z145" s="1141"/>
      <c r="AA145" s="1141"/>
      <c r="AB145" s="1141"/>
      <c r="AC145" s="1141"/>
      <c r="AD145" s="1141"/>
      <c r="AE145" s="1135"/>
      <c r="AF145" s="1141"/>
      <c r="AG145" s="1135"/>
      <c r="AH145" s="1141"/>
      <c r="AI145" s="1141"/>
      <c r="AJ145" s="1142"/>
      <c r="AK145" s="1137">
        <f t="shared" si="9"/>
        <v>0</v>
      </c>
      <c r="AL145" s="1137">
        <f t="shared" si="9"/>
        <v>0</v>
      </c>
    </row>
    <row r="146" spans="1:38" hidden="1" outlineLevel="2" x14ac:dyDescent="0.3">
      <c r="A146" s="1130"/>
      <c r="B146" s="1138"/>
      <c r="C146" s="1139"/>
      <c r="D146" s="1140"/>
      <c r="E146" s="1134"/>
      <c r="F146" s="1141"/>
      <c r="G146" s="1141"/>
      <c r="H146" s="1141"/>
      <c r="I146" s="1141"/>
      <c r="J146" s="1141"/>
      <c r="K146" s="1135"/>
      <c r="L146" s="1141"/>
      <c r="M146" s="1141"/>
      <c r="N146" s="1141"/>
      <c r="O146" s="1141"/>
      <c r="P146" s="1141"/>
      <c r="Q146" s="1141"/>
      <c r="R146" s="1141"/>
      <c r="S146" s="1141"/>
      <c r="T146" s="1141"/>
      <c r="U146" s="1135"/>
      <c r="V146" s="1141"/>
      <c r="W146" s="1141"/>
      <c r="X146" s="1141"/>
      <c r="Y146" s="1141"/>
      <c r="Z146" s="1141"/>
      <c r="AA146" s="1141"/>
      <c r="AB146" s="1141"/>
      <c r="AC146" s="1141"/>
      <c r="AD146" s="1141"/>
      <c r="AE146" s="1135"/>
      <c r="AF146" s="1141"/>
      <c r="AG146" s="1135"/>
      <c r="AH146" s="1141"/>
      <c r="AI146" s="1141"/>
      <c r="AJ146" s="1142"/>
      <c r="AK146" s="1137">
        <f t="shared" si="9"/>
        <v>0</v>
      </c>
      <c r="AL146" s="1137">
        <f t="shared" si="9"/>
        <v>0</v>
      </c>
    </row>
    <row r="147" spans="1:38" hidden="1" outlineLevel="2" x14ac:dyDescent="0.3">
      <c r="A147" s="1130"/>
      <c r="B147" s="1138"/>
      <c r="C147" s="1139"/>
      <c r="D147" s="1140"/>
      <c r="E147" s="1134"/>
      <c r="F147" s="1141"/>
      <c r="G147" s="1141"/>
      <c r="H147" s="1141"/>
      <c r="I147" s="1141"/>
      <c r="J147" s="1141"/>
      <c r="K147" s="1135"/>
      <c r="L147" s="1141"/>
      <c r="M147" s="1141"/>
      <c r="N147" s="1141"/>
      <c r="O147" s="1141"/>
      <c r="P147" s="1141"/>
      <c r="Q147" s="1141"/>
      <c r="R147" s="1141"/>
      <c r="S147" s="1141"/>
      <c r="T147" s="1141"/>
      <c r="U147" s="1135"/>
      <c r="V147" s="1141"/>
      <c r="W147" s="1141"/>
      <c r="X147" s="1141"/>
      <c r="Y147" s="1141"/>
      <c r="Z147" s="1141"/>
      <c r="AA147" s="1141"/>
      <c r="AB147" s="1141"/>
      <c r="AC147" s="1141"/>
      <c r="AD147" s="1141"/>
      <c r="AE147" s="1135"/>
      <c r="AF147" s="1141"/>
      <c r="AG147" s="1135"/>
      <c r="AH147" s="1141"/>
      <c r="AI147" s="1141"/>
      <c r="AJ147" s="1142"/>
      <c r="AK147" s="1137">
        <f t="shared" si="9"/>
        <v>0</v>
      </c>
      <c r="AL147" s="1137">
        <f t="shared" si="9"/>
        <v>0</v>
      </c>
    </row>
    <row r="148" spans="1:38" hidden="1" outlineLevel="2" x14ac:dyDescent="0.3">
      <c r="A148" s="1130"/>
      <c r="B148" s="1138"/>
      <c r="C148" s="1139"/>
      <c r="D148" s="1140"/>
      <c r="E148" s="1134"/>
      <c r="F148" s="1141"/>
      <c r="G148" s="1141"/>
      <c r="H148" s="1141"/>
      <c r="I148" s="1141"/>
      <c r="J148" s="1141"/>
      <c r="K148" s="1135"/>
      <c r="L148" s="1141"/>
      <c r="M148" s="1141"/>
      <c r="N148" s="1141"/>
      <c r="O148" s="1141"/>
      <c r="P148" s="1141"/>
      <c r="Q148" s="1141"/>
      <c r="R148" s="1141"/>
      <c r="S148" s="1141"/>
      <c r="T148" s="1141"/>
      <c r="U148" s="1135"/>
      <c r="V148" s="1141"/>
      <c r="W148" s="1141"/>
      <c r="X148" s="1141"/>
      <c r="Y148" s="1141"/>
      <c r="Z148" s="1141"/>
      <c r="AA148" s="1141"/>
      <c r="AB148" s="1141"/>
      <c r="AC148" s="1141"/>
      <c r="AD148" s="1141"/>
      <c r="AE148" s="1135"/>
      <c r="AF148" s="1141"/>
      <c r="AG148" s="1135"/>
      <c r="AH148" s="1141"/>
      <c r="AI148" s="1141"/>
      <c r="AJ148" s="1142"/>
      <c r="AK148" s="1137">
        <f t="shared" si="9"/>
        <v>0</v>
      </c>
      <c r="AL148" s="1137">
        <f t="shared" si="9"/>
        <v>0</v>
      </c>
    </row>
    <row r="149" spans="1:38" hidden="1" outlineLevel="2" x14ac:dyDescent="0.3">
      <c r="A149" s="1130"/>
      <c r="B149" s="1138"/>
      <c r="C149" s="1139"/>
      <c r="D149" s="1140"/>
      <c r="E149" s="1134"/>
      <c r="F149" s="1141"/>
      <c r="G149" s="1141"/>
      <c r="H149" s="1141"/>
      <c r="I149" s="1141"/>
      <c r="J149" s="1141"/>
      <c r="K149" s="1135"/>
      <c r="L149" s="1141"/>
      <c r="M149" s="1141"/>
      <c r="N149" s="1141"/>
      <c r="O149" s="1141"/>
      <c r="P149" s="1141"/>
      <c r="Q149" s="1141"/>
      <c r="R149" s="1141"/>
      <c r="S149" s="1141"/>
      <c r="T149" s="1141"/>
      <c r="U149" s="1135"/>
      <c r="V149" s="1141"/>
      <c r="W149" s="1141"/>
      <c r="X149" s="1141"/>
      <c r="Y149" s="1141"/>
      <c r="Z149" s="1141"/>
      <c r="AA149" s="1141"/>
      <c r="AB149" s="1141"/>
      <c r="AC149" s="1141"/>
      <c r="AD149" s="1141"/>
      <c r="AE149" s="1135"/>
      <c r="AF149" s="1141"/>
      <c r="AG149" s="1135"/>
      <c r="AH149" s="1141"/>
      <c r="AI149" s="1141"/>
      <c r="AJ149" s="1142"/>
      <c r="AK149" s="1137">
        <f t="shared" ref="AK149:AL166" si="10">SUM(E149,G149,I149)-SUM(K149,M149,O149,Q149,S149,U149,W149,Y149,AA149,AC149,AE149,AG149,AI149)</f>
        <v>0</v>
      </c>
      <c r="AL149" s="1137">
        <f t="shared" si="10"/>
        <v>0</v>
      </c>
    </row>
    <row r="150" spans="1:38" hidden="1" outlineLevel="2" x14ac:dyDescent="0.3">
      <c r="A150" s="1130"/>
      <c r="B150" s="1138"/>
      <c r="C150" s="1139"/>
      <c r="D150" s="1140"/>
      <c r="E150" s="1134"/>
      <c r="F150" s="1141"/>
      <c r="G150" s="1141"/>
      <c r="H150" s="1141"/>
      <c r="I150" s="1141"/>
      <c r="J150" s="1141"/>
      <c r="K150" s="1135"/>
      <c r="L150" s="1141"/>
      <c r="M150" s="1141"/>
      <c r="N150" s="1141"/>
      <c r="O150" s="1141"/>
      <c r="P150" s="1141"/>
      <c r="Q150" s="1141"/>
      <c r="R150" s="1141"/>
      <c r="S150" s="1141"/>
      <c r="T150" s="1141"/>
      <c r="U150" s="1135"/>
      <c r="V150" s="1141"/>
      <c r="W150" s="1141"/>
      <c r="X150" s="1141"/>
      <c r="Y150" s="1141"/>
      <c r="Z150" s="1141"/>
      <c r="AA150" s="1141"/>
      <c r="AB150" s="1141"/>
      <c r="AC150" s="1141"/>
      <c r="AD150" s="1141"/>
      <c r="AE150" s="1135"/>
      <c r="AF150" s="1141"/>
      <c r="AG150" s="1135"/>
      <c r="AH150" s="1141"/>
      <c r="AI150" s="1141"/>
      <c r="AJ150" s="1142"/>
      <c r="AK150" s="1137">
        <f t="shared" si="10"/>
        <v>0</v>
      </c>
      <c r="AL150" s="1137">
        <f t="shared" si="10"/>
        <v>0</v>
      </c>
    </row>
    <row r="151" spans="1:38" hidden="1" outlineLevel="2" x14ac:dyDescent="0.3">
      <c r="A151" s="1130"/>
      <c r="B151" s="1138"/>
      <c r="C151" s="1139"/>
      <c r="D151" s="1140"/>
      <c r="E151" s="1134"/>
      <c r="F151" s="1141"/>
      <c r="G151" s="1141"/>
      <c r="H151" s="1141"/>
      <c r="I151" s="1141"/>
      <c r="J151" s="1141"/>
      <c r="K151" s="1135"/>
      <c r="L151" s="1141"/>
      <c r="M151" s="1141"/>
      <c r="N151" s="1141"/>
      <c r="O151" s="1141"/>
      <c r="P151" s="1141"/>
      <c r="Q151" s="1141"/>
      <c r="R151" s="1141"/>
      <c r="S151" s="1141"/>
      <c r="T151" s="1141"/>
      <c r="U151" s="1135"/>
      <c r="V151" s="1141"/>
      <c r="W151" s="1141"/>
      <c r="X151" s="1141"/>
      <c r="Y151" s="1141"/>
      <c r="Z151" s="1141"/>
      <c r="AA151" s="1141"/>
      <c r="AB151" s="1141"/>
      <c r="AC151" s="1141"/>
      <c r="AD151" s="1141"/>
      <c r="AE151" s="1135"/>
      <c r="AF151" s="1141"/>
      <c r="AG151" s="1135"/>
      <c r="AH151" s="1141"/>
      <c r="AI151" s="1141"/>
      <c r="AJ151" s="1142"/>
      <c r="AK151" s="1137">
        <f t="shared" si="10"/>
        <v>0</v>
      </c>
      <c r="AL151" s="1137">
        <f t="shared" si="10"/>
        <v>0</v>
      </c>
    </row>
    <row r="152" spans="1:38" hidden="1" outlineLevel="2" x14ac:dyDescent="0.3">
      <c r="A152" s="1130"/>
      <c r="B152" s="1138"/>
      <c r="C152" s="1139"/>
      <c r="D152" s="1140"/>
      <c r="E152" s="1134"/>
      <c r="F152" s="1141"/>
      <c r="G152" s="1141"/>
      <c r="H152" s="1141"/>
      <c r="I152" s="1141"/>
      <c r="J152" s="1141"/>
      <c r="K152" s="1135"/>
      <c r="L152" s="1141"/>
      <c r="M152" s="1141"/>
      <c r="N152" s="1141"/>
      <c r="O152" s="1141"/>
      <c r="P152" s="1141"/>
      <c r="Q152" s="1141"/>
      <c r="R152" s="1141"/>
      <c r="S152" s="1141"/>
      <c r="T152" s="1141"/>
      <c r="U152" s="1135"/>
      <c r="V152" s="1141"/>
      <c r="W152" s="1141"/>
      <c r="X152" s="1141"/>
      <c r="Y152" s="1141"/>
      <c r="Z152" s="1141"/>
      <c r="AA152" s="1141"/>
      <c r="AB152" s="1141"/>
      <c r="AC152" s="1141"/>
      <c r="AD152" s="1141"/>
      <c r="AE152" s="1135"/>
      <c r="AF152" s="1141"/>
      <c r="AG152" s="1135"/>
      <c r="AH152" s="1141"/>
      <c r="AI152" s="1141"/>
      <c r="AJ152" s="1142"/>
      <c r="AK152" s="1137">
        <f t="shared" si="10"/>
        <v>0</v>
      </c>
      <c r="AL152" s="1137">
        <f t="shared" si="10"/>
        <v>0</v>
      </c>
    </row>
    <row r="153" spans="1:38" hidden="1" outlineLevel="2" x14ac:dyDescent="0.3">
      <c r="A153" s="1130"/>
      <c r="B153" s="1138"/>
      <c r="C153" s="1139"/>
      <c r="D153" s="1140"/>
      <c r="E153" s="1134"/>
      <c r="F153" s="1141"/>
      <c r="G153" s="1141"/>
      <c r="H153" s="1141"/>
      <c r="I153" s="1141"/>
      <c r="J153" s="1141"/>
      <c r="K153" s="1135"/>
      <c r="L153" s="1141"/>
      <c r="M153" s="1141"/>
      <c r="N153" s="1141"/>
      <c r="O153" s="1141"/>
      <c r="P153" s="1141"/>
      <c r="Q153" s="1141"/>
      <c r="R153" s="1141"/>
      <c r="S153" s="1141"/>
      <c r="T153" s="1141"/>
      <c r="U153" s="1135"/>
      <c r="V153" s="1141"/>
      <c r="W153" s="1141"/>
      <c r="X153" s="1141"/>
      <c r="Y153" s="1141"/>
      <c r="Z153" s="1141"/>
      <c r="AA153" s="1141"/>
      <c r="AB153" s="1141"/>
      <c r="AC153" s="1141"/>
      <c r="AD153" s="1141"/>
      <c r="AE153" s="1135"/>
      <c r="AF153" s="1141"/>
      <c r="AG153" s="1135"/>
      <c r="AH153" s="1141"/>
      <c r="AI153" s="1141"/>
      <c r="AJ153" s="1142"/>
      <c r="AK153" s="1137">
        <f t="shared" si="10"/>
        <v>0</v>
      </c>
      <c r="AL153" s="1137">
        <f t="shared" si="10"/>
        <v>0</v>
      </c>
    </row>
    <row r="154" spans="1:38" hidden="1" outlineLevel="2" x14ac:dyDescent="0.3">
      <c r="A154" s="1130"/>
      <c r="B154" s="1138"/>
      <c r="C154" s="1139"/>
      <c r="D154" s="1140"/>
      <c r="E154" s="1134"/>
      <c r="F154" s="1141"/>
      <c r="G154" s="1141"/>
      <c r="H154" s="1141"/>
      <c r="I154" s="1141"/>
      <c r="J154" s="1141"/>
      <c r="K154" s="1135"/>
      <c r="L154" s="1141"/>
      <c r="M154" s="1141"/>
      <c r="N154" s="1141"/>
      <c r="O154" s="1141"/>
      <c r="P154" s="1141"/>
      <c r="Q154" s="1141"/>
      <c r="R154" s="1141"/>
      <c r="S154" s="1141"/>
      <c r="T154" s="1141"/>
      <c r="U154" s="1135"/>
      <c r="V154" s="1141"/>
      <c r="W154" s="1141"/>
      <c r="X154" s="1141"/>
      <c r="Y154" s="1141"/>
      <c r="Z154" s="1141"/>
      <c r="AA154" s="1141"/>
      <c r="AB154" s="1141"/>
      <c r="AC154" s="1141"/>
      <c r="AD154" s="1141"/>
      <c r="AE154" s="1135"/>
      <c r="AF154" s="1141"/>
      <c r="AG154" s="1135"/>
      <c r="AH154" s="1141"/>
      <c r="AI154" s="1141"/>
      <c r="AJ154" s="1142"/>
      <c r="AK154" s="1137">
        <f t="shared" si="10"/>
        <v>0</v>
      </c>
      <c r="AL154" s="1137">
        <f t="shared" si="10"/>
        <v>0</v>
      </c>
    </row>
    <row r="155" spans="1:38" hidden="1" outlineLevel="2" x14ac:dyDescent="0.3">
      <c r="A155" s="1130"/>
      <c r="B155" s="1138"/>
      <c r="C155" s="1139"/>
      <c r="D155" s="1140"/>
      <c r="E155" s="1134"/>
      <c r="F155" s="1141"/>
      <c r="G155" s="1141"/>
      <c r="H155" s="1141"/>
      <c r="I155" s="1141"/>
      <c r="J155" s="1141"/>
      <c r="K155" s="1135"/>
      <c r="L155" s="1141"/>
      <c r="M155" s="1141"/>
      <c r="N155" s="1141"/>
      <c r="O155" s="1141"/>
      <c r="P155" s="1141"/>
      <c r="Q155" s="1141"/>
      <c r="R155" s="1141"/>
      <c r="S155" s="1141"/>
      <c r="T155" s="1141"/>
      <c r="U155" s="1135"/>
      <c r="V155" s="1141"/>
      <c r="W155" s="1141"/>
      <c r="X155" s="1141"/>
      <c r="Y155" s="1141"/>
      <c r="Z155" s="1141"/>
      <c r="AA155" s="1141"/>
      <c r="AB155" s="1141"/>
      <c r="AC155" s="1141"/>
      <c r="AD155" s="1141"/>
      <c r="AE155" s="1135"/>
      <c r="AF155" s="1141"/>
      <c r="AG155" s="1135"/>
      <c r="AH155" s="1141"/>
      <c r="AI155" s="1141"/>
      <c r="AJ155" s="1142"/>
      <c r="AK155" s="1137">
        <f t="shared" si="10"/>
        <v>0</v>
      </c>
      <c r="AL155" s="1137">
        <f t="shared" si="10"/>
        <v>0</v>
      </c>
    </row>
    <row r="156" spans="1:38" hidden="1" outlineLevel="2" x14ac:dyDescent="0.3">
      <c r="A156" s="1130"/>
      <c r="B156" s="1138"/>
      <c r="C156" s="1139"/>
      <c r="D156" s="1140"/>
      <c r="E156" s="1134"/>
      <c r="F156" s="1141"/>
      <c r="G156" s="1141"/>
      <c r="H156" s="1141"/>
      <c r="I156" s="1141"/>
      <c r="J156" s="1141"/>
      <c r="K156" s="1135"/>
      <c r="L156" s="1141"/>
      <c r="M156" s="1141"/>
      <c r="N156" s="1141"/>
      <c r="O156" s="1141"/>
      <c r="P156" s="1141"/>
      <c r="Q156" s="1141"/>
      <c r="R156" s="1141"/>
      <c r="S156" s="1141"/>
      <c r="T156" s="1141"/>
      <c r="U156" s="1135"/>
      <c r="V156" s="1141"/>
      <c r="W156" s="1141"/>
      <c r="X156" s="1141"/>
      <c r="Y156" s="1141"/>
      <c r="Z156" s="1141"/>
      <c r="AA156" s="1141"/>
      <c r="AB156" s="1141"/>
      <c r="AC156" s="1141"/>
      <c r="AD156" s="1141"/>
      <c r="AE156" s="1135"/>
      <c r="AF156" s="1141"/>
      <c r="AG156" s="1135"/>
      <c r="AH156" s="1141"/>
      <c r="AI156" s="1141"/>
      <c r="AJ156" s="1142"/>
      <c r="AK156" s="1137">
        <f t="shared" si="10"/>
        <v>0</v>
      </c>
      <c r="AL156" s="1137">
        <f t="shared" si="10"/>
        <v>0</v>
      </c>
    </row>
    <row r="157" spans="1:38" hidden="1" outlineLevel="2" x14ac:dyDescent="0.3">
      <c r="A157" s="1130"/>
      <c r="B157" s="1138"/>
      <c r="C157" s="1139"/>
      <c r="D157" s="1140"/>
      <c r="E157" s="1134"/>
      <c r="F157" s="1141"/>
      <c r="G157" s="1141"/>
      <c r="H157" s="1141"/>
      <c r="I157" s="1141"/>
      <c r="J157" s="1141"/>
      <c r="K157" s="1135"/>
      <c r="L157" s="1141"/>
      <c r="M157" s="1141"/>
      <c r="N157" s="1141"/>
      <c r="O157" s="1141"/>
      <c r="P157" s="1141"/>
      <c r="Q157" s="1141"/>
      <c r="R157" s="1141"/>
      <c r="S157" s="1141"/>
      <c r="T157" s="1141"/>
      <c r="U157" s="1135"/>
      <c r="V157" s="1141"/>
      <c r="W157" s="1141"/>
      <c r="X157" s="1141"/>
      <c r="Y157" s="1141"/>
      <c r="Z157" s="1141"/>
      <c r="AA157" s="1141"/>
      <c r="AB157" s="1141"/>
      <c r="AC157" s="1141"/>
      <c r="AD157" s="1141"/>
      <c r="AE157" s="1135"/>
      <c r="AF157" s="1141"/>
      <c r="AG157" s="1135"/>
      <c r="AH157" s="1141"/>
      <c r="AI157" s="1141"/>
      <c r="AJ157" s="1142"/>
      <c r="AK157" s="1137">
        <f t="shared" si="10"/>
        <v>0</v>
      </c>
      <c r="AL157" s="1137">
        <f t="shared" si="10"/>
        <v>0</v>
      </c>
    </row>
    <row r="158" spans="1:38" hidden="1" outlineLevel="2" x14ac:dyDescent="0.3">
      <c r="A158" s="1130"/>
      <c r="B158" s="1138"/>
      <c r="C158" s="1139"/>
      <c r="D158" s="1140"/>
      <c r="E158" s="1134"/>
      <c r="F158" s="1141"/>
      <c r="G158" s="1141"/>
      <c r="H158" s="1141"/>
      <c r="I158" s="1141"/>
      <c r="J158" s="1141"/>
      <c r="K158" s="1135"/>
      <c r="L158" s="1141"/>
      <c r="M158" s="1141"/>
      <c r="N158" s="1141"/>
      <c r="O158" s="1141"/>
      <c r="P158" s="1141"/>
      <c r="Q158" s="1141"/>
      <c r="R158" s="1141"/>
      <c r="S158" s="1141"/>
      <c r="T158" s="1141"/>
      <c r="U158" s="1135"/>
      <c r="V158" s="1141"/>
      <c r="W158" s="1141"/>
      <c r="X158" s="1141"/>
      <c r="Y158" s="1141"/>
      <c r="Z158" s="1141"/>
      <c r="AA158" s="1141"/>
      <c r="AB158" s="1141"/>
      <c r="AC158" s="1141"/>
      <c r="AD158" s="1141"/>
      <c r="AE158" s="1135"/>
      <c r="AF158" s="1141"/>
      <c r="AG158" s="1135"/>
      <c r="AH158" s="1141"/>
      <c r="AI158" s="1141"/>
      <c r="AJ158" s="1142"/>
      <c r="AK158" s="1137">
        <f t="shared" si="10"/>
        <v>0</v>
      </c>
      <c r="AL158" s="1137">
        <f t="shared" si="10"/>
        <v>0</v>
      </c>
    </row>
    <row r="159" spans="1:38" hidden="1" outlineLevel="2" x14ac:dyDescent="0.3">
      <c r="A159" s="1130"/>
      <c r="B159" s="1138"/>
      <c r="C159" s="1139"/>
      <c r="D159" s="1140"/>
      <c r="E159" s="1134"/>
      <c r="F159" s="1141"/>
      <c r="G159" s="1141"/>
      <c r="H159" s="1141"/>
      <c r="I159" s="1141"/>
      <c r="J159" s="1141"/>
      <c r="K159" s="1135"/>
      <c r="L159" s="1141"/>
      <c r="M159" s="1141"/>
      <c r="N159" s="1141"/>
      <c r="O159" s="1141"/>
      <c r="P159" s="1141"/>
      <c r="Q159" s="1141"/>
      <c r="R159" s="1141"/>
      <c r="S159" s="1141"/>
      <c r="T159" s="1141"/>
      <c r="U159" s="1135"/>
      <c r="V159" s="1141"/>
      <c r="W159" s="1141"/>
      <c r="X159" s="1141"/>
      <c r="Y159" s="1141"/>
      <c r="Z159" s="1141"/>
      <c r="AA159" s="1141"/>
      <c r="AB159" s="1141"/>
      <c r="AC159" s="1141"/>
      <c r="AD159" s="1141"/>
      <c r="AE159" s="1135"/>
      <c r="AF159" s="1141"/>
      <c r="AG159" s="1135"/>
      <c r="AH159" s="1141"/>
      <c r="AI159" s="1141"/>
      <c r="AJ159" s="1142"/>
      <c r="AK159" s="1137">
        <f t="shared" si="10"/>
        <v>0</v>
      </c>
      <c r="AL159" s="1137">
        <f t="shared" si="10"/>
        <v>0</v>
      </c>
    </row>
    <row r="160" spans="1:38" hidden="1" outlineLevel="2" x14ac:dyDescent="0.3">
      <c r="A160" s="1130"/>
      <c r="B160" s="1138"/>
      <c r="C160" s="1139"/>
      <c r="D160" s="1140"/>
      <c r="E160" s="1134"/>
      <c r="F160" s="1141"/>
      <c r="G160" s="1141"/>
      <c r="H160" s="1141"/>
      <c r="I160" s="1141"/>
      <c r="J160" s="1141"/>
      <c r="K160" s="1135"/>
      <c r="L160" s="1141"/>
      <c r="M160" s="1141"/>
      <c r="N160" s="1141"/>
      <c r="O160" s="1141"/>
      <c r="P160" s="1141"/>
      <c r="Q160" s="1141"/>
      <c r="R160" s="1141"/>
      <c r="S160" s="1141"/>
      <c r="T160" s="1141"/>
      <c r="U160" s="1135"/>
      <c r="V160" s="1141"/>
      <c r="W160" s="1141"/>
      <c r="X160" s="1141"/>
      <c r="Y160" s="1141"/>
      <c r="Z160" s="1141"/>
      <c r="AA160" s="1141"/>
      <c r="AB160" s="1141"/>
      <c r="AC160" s="1141"/>
      <c r="AD160" s="1141"/>
      <c r="AE160" s="1135"/>
      <c r="AF160" s="1141"/>
      <c r="AG160" s="1135"/>
      <c r="AH160" s="1141"/>
      <c r="AI160" s="1141"/>
      <c r="AJ160" s="1142"/>
      <c r="AK160" s="1137">
        <f t="shared" si="10"/>
        <v>0</v>
      </c>
      <c r="AL160" s="1137">
        <f t="shared" si="10"/>
        <v>0</v>
      </c>
    </row>
    <row r="161" spans="1:38" hidden="1" outlineLevel="2" x14ac:dyDescent="0.3">
      <c r="A161" s="1130"/>
      <c r="B161" s="1138"/>
      <c r="C161" s="1139"/>
      <c r="D161" s="1140"/>
      <c r="E161" s="1134"/>
      <c r="F161" s="1141"/>
      <c r="G161" s="1141"/>
      <c r="H161" s="1141"/>
      <c r="I161" s="1141"/>
      <c r="J161" s="1141"/>
      <c r="K161" s="1135"/>
      <c r="L161" s="1141"/>
      <c r="M161" s="1141"/>
      <c r="N161" s="1141"/>
      <c r="O161" s="1141"/>
      <c r="P161" s="1141"/>
      <c r="Q161" s="1141"/>
      <c r="R161" s="1141"/>
      <c r="S161" s="1141"/>
      <c r="T161" s="1141"/>
      <c r="U161" s="1135"/>
      <c r="V161" s="1141"/>
      <c r="W161" s="1141"/>
      <c r="X161" s="1141"/>
      <c r="Y161" s="1141"/>
      <c r="Z161" s="1141"/>
      <c r="AA161" s="1141"/>
      <c r="AB161" s="1141"/>
      <c r="AC161" s="1141"/>
      <c r="AD161" s="1141"/>
      <c r="AE161" s="1135"/>
      <c r="AF161" s="1141"/>
      <c r="AG161" s="1135"/>
      <c r="AH161" s="1141"/>
      <c r="AI161" s="1141"/>
      <c r="AJ161" s="1142"/>
      <c r="AK161" s="1137">
        <f t="shared" si="10"/>
        <v>0</v>
      </c>
      <c r="AL161" s="1137">
        <f t="shared" si="10"/>
        <v>0</v>
      </c>
    </row>
    <row r="162" spans="1:38" hidden="1" outlineLevel="2" x14ac:dyDescent="0.3">
      <c r="A162" s="1130"/>
      <c r="B162" s="1138"/>
      <c r="C162" s="1139"/>
      <c r="D162" s="1140"/>
      <c r="E162" s="1134"/>
      <c r="F162" s="1141"/>
      <c r="G162" s="1141"/>
      <c r="H162" s="1141"/>
      <c r="I162" s="1141"/>
      <c r="J162" s="1141"/>
      <c r="K162" s="1135"/>
      <c r="L162" s="1141"/>
      <c r="M162" s="1141"/>
      <c r="N162" s="1141"/>
      <c r="O162" s="1141"/>
      <c r="P162" s="1141"/>
      <c r="Q162" s="1141"/>
      <c r="R162" s="1141"/>
      <c r="S162" s="1141"/>
      <c r="T162" s="1141"/>
      <c r="U162" s="1135"/>
      <c r="V162" s="1141"/>
      <c r="W162" s="1141"/>
      <c r="X162" s="1141"/>
      <c r="Y162" s="1141"/>
      <c r="Z162" s="1141"/>
      <c r="AA162" s="1141"/>
      <c r="AB162" s="1141"/>
      <c r="AC162" s="1141"/>
      <c r="AD162" s="1141"/>
      <c r="AE162" s="1135"/>
      <c r="AF162" s="1141"/>
      <c r="AG162" s="1135"/>
      <c r="AH162" s="1141"/>
      <c r="AI162" s="1141"/>
      <c r="AJ162" s="1142"/>
      <c r="AK162" s="1137">
        <f t="shared" si="10"/>
        <v>0</v>
      </c>
      <c r="AL162" s="1137">
        <f t="shared" si="10"/>
        <v>0</v>
      </c>
    </row>
    <row r="163" spans="1:38" hidden="1" outlineLevel="2" x14ac:dyDescent="0.3">
      <c r="A163" s="1130"/>
      <c r="B163" s="1138"/>
      <c r="C163" s="1139"/>
      <c r="D163" s="1140"/>
      <c r="E163" s="1134"/>
      <c r="F163" s="1141"/>
      <c r="G163" s="1141"/>
      <c r="H163" s="1141"/>
      <c r="I163" s="1141"/>
      <c r="J163" s="1141"/>
      <c r="K163" s="1135"/>
      <c r="L163" s="1141"/>
      <c r="M163" s="1141"/>
      <c r="N163" s="1141"/>
      <c r="O163" s="1141"/>
      <c r="P163" s="1141"/>
      <c r="Q163" s="1141"/>
      <c r="R163" s="1141"/>
      <c r="S163" s="1141"/>
      <c r="T163" s="1141"/>
      <c r="U163" s="1135"/>
      <c r="V163" s="1141"/>
      <c r="W163" s="1141"/>
      <c r="X163" s="1141"/>
      <c r="Y163" s="1141"/>
      <c r="Z163" s="1141"/>
      <c r="AA163" s="1141"/>
      <c r="AB163" s="1141"/>
      <c r="AC163" s="1141"/>
      <c r="AD163" s="1141"/>
      <c r="AE163" s="1135"/>
      <c r="AF163" s="1141"/>
      <c r="AG163" s="1135"/>
      <c r="AH163" s="1141"/>
      <c r="AI163" s="1141"/>
      <c r="AJ163" s="1142"/>
      <c r="AK163" s="1137">
        <f t="shared" si="10"/>
        <v>0</v>
      </c>
      <c r="AL163" s="1137">
        <f t="shared" si="10"/>
        <v>0</v>
      </c>
    </row>
    <row r="164" spans="1:38" hidden="1" outlineLevel="2" x14ac:dyDescent="0.3">
      <c r="A164" s="1130"/>
      <c r="B164" s="1138"/>
      <c r="C164" s="1139"/>
      <c r="D164" s="1140"/>
      <c r="E164" s="1134"/>
      <c r="F164" s="1141"/>
      <c r="G164" s="1141"/>
      <c r="H164" s="1141"/>
      <c r="I164" s="1141"/>
      <c r="J164" s="1141"/>
      <c r="K164" s="1135"/>
      <c r="L164" s="1141"/>
      <c r="M164" s="1141"/>
      <c r="N164" s="1141"/>
      <c r="O164" s="1141"/>
      <c r="P164" s="1141"/>
      <c r="Q164" s="1141"/>
      <c r="R164" s="1141"/>
      <c r="S164" s="1141"/>
      <c r="T164" s="1141"/>
      <c r="U164" s="1135"/>
      <c r="V164" s="1141"/>
      <c r="W164" s="1141"/>
      <c r="X164" s="1141"/>
      <c r="Y164" s="1141"/>
      <c r="Z164" s="1141"/>
      <c r="AA164" s="1141"/>
      <c r="AB164" s="1141"/>
      <c r="AC164" s="1141"/>
      <c r="AD164" s="1141"/>
      <c r="AE164" s="1135"/>
      <c r="AF164" s="1141"/>
      <c r="AG164" s="1135"/>
      <c r="AH164" s="1141"/>
      <c r="AI164" s="1141"/>
      <c r="AJ164" s="1142"/>
      <c r="AK164" s="1137">
        <f t="shared" si="10"/>
        <v>0</v>
      </c>
      <c r="AL164" s="1137">
        <f t="shared" si="10"/>
        <v>0</v>
      </c>
    </row>
    <row r="165" spans="1:38" hidden="1" outlineLevel="2" x14ac:dyDescent="0.3">
      <c r="A165" s="1130"/>
      <c r="B165" s="1138"/>
      <c r="C165" s="1139"/>
      <c r="D165" s="1140"/>
      <c r="E165" s="1134"/>
      <c r="F165" s="1141"/>
      <c r="G165" s="1141"/>
      <c r="H165" s="1141"/>
      <c r="I165" s="1141"/>
      <c r="J165" s="1141"/>
      <c r="K165" s="1135"/>
      <c r="L165" s="1141"/>
      <c r="M165" s="1141"/>
      <c r="N165" s="1141"/>
      <c r="O165" s="1141"/>
      <c r="P165" s="1141"/>
      <c r="Q165" s="1141"/>
      <c r="R165" s="1141"/>
      <c r="S165" s="1141"/>
      <c r="T165" s="1141"/>
      <c r="U165" s="1135"/>
      <c r="V165" s="1141"/>
      <c r="W165" s="1141"/>
      <c r="X165" s="1141"/>
      <c r="Y165" s="1141"/>
      <c r="Z165" s="1141"/>
      <c r="AA165" s="1141"/>
      <c r="AB165" s="1141"/>
      <c r="AC165" s="1141"/>
      <c r="AD165" s="1141"/>
      <c r="AE165" s="1135"/>
      <c r="AF165" s="1141"/>
      <c r="AG165" s="1135"/>
      <c r="AH165" s="1141"/>
      <c r="AI165" s="1141"/>
      <c r="AJ165" s="1142"/>
      <c r="AK165" s="1137">
        <f t="shared" si="10"/>
        <v>0</v>
      </c>
      <c r="AL165" s="1137">
        <f t="shared" si="10"/>
        <v>0</v>
      </c>
    </row>
    <row r="166" spans="1:38" hidden="1" outlineLevel="2" x14ac:dyDescent="0.3">
      <c r="A166" s="1130"/>
      <c r="B166" s="1138"/>
      <c r="C166" s="1139"/>
      <c r="D166" s="1140"/>
      <c r="E166" s="1134"/>
      <c r="F166" s="1141"/>
      <c r="G166" s="1141"/>
      <c r="H166" s="1141"/>
      <c r="I166" s="1141"/>
      <c r="J166" s="1141"/>
      <c r="K166" s="1135"/>
      <c r="L166" s="1141"/>
      <c r="M166" s="1141"/>
      <c r="N166" s="1141"/>
      <c r="O166" s="1141"/>
      <c r="P166" s="1141"/>
      <c r="Q166" s="1141"/>
      <c r="R166" s="1141"/>
      <c r="S166" s="1141"/>
      <c r="T166" s="1141"/>
      <c r="U166" s="1135"/>
      <c r="V166" s="1141"/>
      <c r="W166" s="1141"/>
      <c r="X166" s="1141"/>
      <c r="Y166" s="1141"/>
      <c r="Z166" s="1141"/>
      <c r="AA166" s="1141"/>
      <c r="AB166" s="1141"/>
      <c r="AC166" s="1141"/>
      <c r="AD166" s="1141"/>
      <c r="AE166" s="1135"/>
      <c r="AF166" s="1141"/>
      <c r="AG166" s="1135"/>
      <c r="AH166" s="1141"/>
      <c r="AI166" s="1141"/>
      <c r="AJ166" s="1142"/>
      <c r="AK166" s="1137">
        <f t="shared" si="10"/>
        <v>0</v>
      </c>
      <c r="AL166" s="1137">
        <f t="shared" si="10"/>
        <v>0</v>
      </c>
    </row>
    <row r="167" spans="1:38" hidden="1" outlineLevel="2" x14ac:dyDescent="0.3">
      <c r="A167" s="1130"/>
      <c r="B167" s="1138"/>
      <c r="C167" s="1139"/>
      <c r="D167" s="1140"/>
      <c r="E167" s="1143"/>
      <c r="F167" s="1141"/>
      <c r="G167" s="1141"/>
      <c r="H167" s="1141"/>
      <c r="I167" s="1141"/>
      <c r="J167" s="1141"/>
      <c r="K167" s="1141"/>
      <c r="L167" s="1141"/>
      <c r="M167" s="1141"/>
      <c r="N167" s="1141"/>
      <c r="O167" s="1141"/>
      <c r="P167" s="1141"/>
      <c r="Q167" s="1141"/>
      <c r="R167" s="1141"/>
      <c r="S167" s="1141"/>
      <c r="T167" s="1141"/>
      <c r="U167" s="1135"/>
      <c r="V167" s="1141"/>
      <c r="W167" s="1141"/>
      <c r="X167" s="1141"/>
      <c r="Y167" s="1141"/>
      <c r="Z167" s="1141"/>
      <c r="AA167" s="1141"/>
      <c r="AB167" s="1141"/>
      <c r="AC167" s="1141"/>
      <c r="AD167" s="1141"/>
      <c r="AE167" s="1135"/>
      <c r="AF167" s="1141"/>
      <c r="AG167" s="1135"/>
      <c r="AH167" s="1141"/>
      <c r="AI167" s="1141"/>
      <c r="AJ167" s="1142"/>
      <c r="AK167" s="1137"/>
      <c r="AL167" s="1144"/>
    </row>
    <row r="168" spans="1:38" hidden="1" outlineLevel="2" x14ac:dyDescent="0.3">
      <c r="A168" s="1130"/>
      <c r="B168" s="1138"/>
      <c r="C168" s="1139"/>
      <c r="D168" s="1140"/>
      <c r="E168" s="1143"/>
      <c r="F168" s="1141"/>
      <c r="G168" s="1141"/>
      <c r="H168" s="1141"/>
      <c r="I168" s="1141"/>
      <c r="J168" s="1141"/>
      <c r="K168" s="1141"/>
      <c r="L168" s="1141"/>
      <c r="M168" s="1141"/>
      <c r="N168" s="1141"/>
      <c r="O168" s="1141"/>
      <c r="P168" s="1141"/>
      <c r="Q168" s="1141"/>
      <c r="R168" s="1141"/>
      <c r="S168" s="1141"/>
      <c r="T168" s="1141"/>
      <c r="U168" s="1141"/>
      <c r="V168" s="1141"/>
      <c r="W168" s="1141"/>
      <c r="X168" s="1141"/>
      <c r="Y168" s="1141"/>
      <c r="Z168" s="1141"/>
      <c r="AA168" s="1141"/>
      <c r="AB168" s="1141"/>
      <c r="AC168" s="1141"/>
      <c r="AD168" s="1141"/>
      <c r="AE168" s="1141"/>
      <c r="AF168" s="1141"/>
      <c r="AG168" s="1141"/>
      <c r="AH168" s="1141"/>
      <c r="AI168" s="1141"/>
      <c r="AJ168" s="1142"/>
      <c r="AK168" s="1142"/>
      <c r="AL168" s="1144"/>
    </row>
    <row r="169" spans="1:38" ht="15" outlineLevel="1" collapsed="1" thickBot="1" x14ac:dyDescent="0.35">
      <c r="A169" s="1130"/>
      <c r="B169" s="1145" t="s">
        <v>550</v>
      </c>
      <c r="C169" s="1146"/>
      <c r="D169" s="1147"/>
      <c r="E169" s="1148">
        <f t="shared" ref="E169:AL169" si="11">SUBTOTAL(9,E117:E168)</f>
        <v>0</v>
      </c>
      <c r="F169" s="1149">
        <f t="shared" si="11"/>
        <v>0</v>
      </c>
      <c r="G169" s="1149">
        <f t="shared" si="11"/>
        <v>0</v>
      </c>
      <c r="H169" s="1149">
        <f t="shared" si="11"/>
        <v>0</v>
      </c>
      <c r="I169" s="1149">
        <f t="shared" si="11"/>
        <v>0</v>
      </c>
      <c r="J169" s="1149">
        <f t="shared" si="11"/>
        <v>0</v>
      </c>
      <c r="K169" s="1149">
        <f t="shared" si="11"/>
        <v>0</v>
      </c>
      <c r="L169" s="1149">
        <f t="shared" si="11"/>
        <v>0</v>
      </c>
      <c r="M169" s="1149">
        <f t="shared" si="11"/>
        <v>0</v>
      </c>
      <c r="N169" s="1149">
        <f t="shared" si="11"/>
        <v>0</v>
      </c>
      <c r="O169" s="1149">
        <f t="shared" si="11"/>
        <v>0</v>
      </c>
      <c r="P169" s="1149">
        <f t="shared" si="11"/>
        <v>0</v>
      </c>
      <c r="Q169" s="1149">
        <f t="shared" si="11"/>
        <v>0</v>
      </c>
      <c r="R169" s="1149">
        <f t="shared" si="11"/>
        <v>0</v>
      </c>
      <c r="S169" s="1149">
        <f t="shared" si="11"/>
        <v>0</v>
      </c>
      <c r="T169" s="1149">
        <f t="shared" si="11"/>
        <v>0</v>
      </c>
      <c r="U169" s="1149">
        <f t="shared" si="11"/>
        <v>0</v>
      </c>
      <c r="V169" s="1149">
        <f t="shared" si="11"/>
        <v>0</v>
      </c>
      <c r="W169" s="1149">
        <f t="shared" si="11"/>
        <v>0</v>
      </c>
      <c r="X169" s="1149">
        <f t="shared" si="11"/>
        <v>0</v>
      </c>
      <c r="Y169" s="1149">
        <f t="shared" si="11"/>
        <v>0</v>
      </c>
      <c r="Z169" s="1149">
        <f t="shared" si="11"/>
        <v>0</v>
      </c>
      <c r="AA169" s="1149">
        <f t="shared" si="11"/>
        <v>0</v>
      </c>
      <c r="AB169" s="1149">
        <f t="shared" si="11"/>
        <v>0</v>
      </c>
      <c r="AC169" s="1149">
        <f t="shared" si="11"/>
        <v>0</v>
      </c>
      <c r="AD169" s="1149">
        <f t="shared" si="11"/>
        <v>0</v>
      </c>
      <c r="AE169" s="1149">
        <f t="shared" si="11"/>
        <v>0</v>
      </c>
      <c r="AF169" s="1149">
        <f t="shared" si="11"/>
        <v>0</v>
      </c>
      <c r="AG169" s="1149">
        <f t="shared" si="11"/>
        <v>0</v>
      </c>
      <c r="AH169" s="1149">
        <f t="shared" si="11"/>
        <v>0</v>
      </c>
      <c r="AI169" s="1149">
        <f t="shared" si="11"/>
        <v>0</v>
      </c>
      <c r="AJ169" s="1149">
        <f t="shared" si="11"/>
        <v>0</v>
      </c>
      <c r="AK169" s="1149">
        <f t="shared" si="11"/>
        <v>0</v>
      </c>
      <c r="AL169" s="1149">
        <f t="shared" si="11"/>
        <v>0</v>
      </c>
    </row>
    <row r="170" spans="1:38" ht="36" outlineLevel="1" x14ac:dyDescent="0.35">
      <c r="A170" s="1150" t="s">
        <v>1460</v>
      </c>
      <c r="B170" s="1151"/>
      <c r="C170" s="1152"/>
      <c r="D170" s="1153"/>
      <c r="E170" s="1154"/>
      <c r="F170" s="1155"/>
      <c r="G170" s="1155"/>
      <c r="H170" s="1155"/>
      <c r="I170" s="1155"/>
      <c r="J170" s="1155"/>
      <c r="K170" s="1155"/>
      <c r="L170" s="1155"/>
      <c r="M170" s="1155"/>
      <c r="N170" s="1155"/>
      <c r="O170" s="1155"/>
      <c r="P170" s="1155"/>
      <c r="Q170" s="1155"/>
      <c r="R170" s="1155"/>
      <c r="S170" s="1155"/>
      <c r="T170" s="1155"/>
      <c r="U170" s="1155"/>
      <c r="V170" s="1155"/>
      <c r="W170" s="1155"/>
      <c r="X170" s="1155"/>
      <c r="Y170" s="1155"/>
      <c r="Z170" s="1155"/>
      <c r="AA170" s="1155"/>
      <c r="AB170" s="1155"/>
      <c r="AC170" s="1155"/>
      <c r="AD170" s="1155"/>
      <c r="AE170" s="1155"/>
      <c r="AF170" s="1155"/>
      <c r="AG170" s="1155"/>
      <c r="AH170" s="1155"/>
      <c r="AI170" s="1155"/>
      <c r="AJ170" s="1156"/>
      <c r="AK170" s="1156"/>
      <c r="AL170" s="1157"/>
    </row>
    <row r="171" spans="1:38" hidden="1" outlineLevel="2" x14ac:dyDescent="0.3">
      <c r="A171" s="1158"/>
      <c r="B171" s="1159"/>
      <c r="C171" s="1160"/>
      <c r="D171" s="1161"/>
      <c r="E171" s="1162"/>
      <c r="F171" s="1163"/>
      <c r="G171" s="1163"/>
      <c r="H171" s="1163"/>
      <c r="I171" s="1163"/>
      <c r="J171" s="1163"/>
      <c r="K171" s="1163"/>
      <c r="L171" s="1163"/>
      <c r="M171" s="1163"/>
      <c r="N171" s="1163"/>
      <c r="O171" s="1163"/>
      <c r="P171" s="1163"/>
      <c r="Q171" s="1163"/>
      <c r="R171" s="1163"/>
      <c r="S171" s="1163"/>
      <c r="T171" s="1163"/>
      <c r="U171" s="1163"/>
      <c r="V171" s="1163"/>
      <c r="W171" s="1163"/>
      <c r="X171" s="1163"/>
      <c r="Y171" s="1163"/>
      <c r="Z171" s="1163"/>
      <c r="AA171" s="1163"/>
      <c r="AB171" s="1163"/>
      <c r="AC171" s="1163"/>
      <c r="AD171" s="1163"/>
      <c r="AE171" s="1163"/>
      <c r="AF171" s="1163"/>
      <c r="AG171" s="1163"/>
      <c r="AH171" s="1163"/>
      <c r="AI171" s="1163"/>
      <c r="AJ171" s="1164"/>
      <c r="AK171" s="1164"/>
      <c r="AL171" s="1165"/>
    </row>
    <row r="172" spans="1:38" hidden="1" outlineLevel="2" x14ac:dyDescent="0.3">
      <c r="A172" s="1158"/>
      <c r="B172" s="1159"/>
      <c r="C172" s="1160"/>
      <c r="D172" s="1161"/>
      <c r="E172" s="1162"/>
      <c r="F172" s="1163"/>
      <c r="G172" s="1163"/>
      <c r="H172" s="1163"/>
      <c r="I172" s="1163"/>
      <c r="J172" s="1163"/>
      <c r="K172" s="1163"/>
      <c r="L172" s="1163"/>
      <c r="M172" s="1163"/>
      <c r="N172" s="1163"/>
      <c r="O172" s="1163"/>
      <c r="P172" s="1163"/>
      <c r="Q172" s="1163"/>
      <c r="R172" s="1163"/>
      <c r="S172" s="1163"/>
      <c r="T172" s="1163"/>
      <c r="U172" s="1163"/>
      <c r="V172" s="1163"/>
      <c r="W172" s="1163"/>
      <c r="X172" s="1163"/>
      <c r="Y172" s="1163"/>
      <c r="Z172" s="1163"/>
      <c r="AA172" s="1163"/>
      <c r="AB172" s="1163"/>
      <c r="AC172" s="1163"/>
      <c r="AD172" s="1163"/>
      <c r="AE172" s="1163"/>
      <c r="AF172" s="1163"/>
      <c r="AG172" s="1163"/>
      <c r="AH172" s="1163"/>
      <c r="AI172" s="1163"/>
      <c r="AJ172" s="1164"/>
      <c r="AK172" s="1164"/>
      <c r="AL172" s="1165"/>
    </row>
    <row r="173" spans="1:38" hidden="1" outlineLevel="2" x14ac:dyDescent="0.3">
      <c r="A173" s="1158"/>
      <c r="B173" s="1159"/>
      <c r="C173" s="1160"/>
      <c r="D173" s="1161"/>
      <c r="E173" s="1162"/>
      <c r="F173" s="1163"/>
      <c r="G173" s="1163"/>
      <c r="H173" s="1163"/>
      <c r="I173" s="1163"/>
      <c r="J173" s="1163"/>
      <c r="K173" s="1163"/>
      <c r="L173" s="1163"/>
      <c r="M173" s="1163"/>
      <c r="N173" s="1163"/>
      <c r="O173" s="1163"/>
      <c r="P173" s="1163"/>
      <c r="Q173" s="1163"/>
      <c r="R173" s="1163"/>
      <c r="S173" s="1163"/>
      <c r="T173" s="1163"/>
      <c r="U173" s="1163"/>
      <c r="V173" s="1163"/>
      <c r="W173" s="1163"/>
      <c r="X173" s="1163"/>
      <c r="Y173" s="1163"/>
      <c r="Z173" s="1163"/>
      <c r="AA173" s="1163"/>
      <c r="AB173" s="1163"/>
      <c r="AC173" s="1163"/>
      <c r="AD173" s="1163"/>
      <c r="AE173" s="1163"/>
      <c r="AF173" s="1163"/>
      <c r="AG173" s="1163"/>
      <c r="AH173" s="1163"/>
      <c r="AI173" s="1163"/>
      <c r="AJ173" s="1164"/>
      <c r="AK173" s="1164"/>
      <c r="AL173" s="1165"/>
    </row>
    <row r="174" spans="1:38" hidden="1" outlineLevel="2" x14ac:dyDescent="0.3">
      <c r="A174" s="1158"/>
      <c r="B174" s="1166"/>
      <c r="C174" s="1167"/>
      <c r="D174" s="1168"/>
      <c r="E174" s="1169"/>
      <c r="F174" s="1170"/>
      <c r="G174" s="1170"/>
      <c r="H174" s="1170"/>
      <c r="I174" s="1170"/>
      <c r="J174" s="1170"/>
      <c r="K174" s="1170"/>
      <c r="L174" s="1170"/>
      <c r="M174" s="1170"/>
      <c r="N174" s="1170"/>
      <c r="O174" s="1170"/>
      <c r="P174" s="1170"/>
      <c r="Q174" s="1170"/>
      <c r="R174" s="1170"/>
      <c r="S174" s="1170"/>
      <c r="T174" s="1170"/>
      <c r="U174" s="1170"/>
      <c r="V174" s="1170"/>
      <c r="W174" s="1170"/>
      <c r="X174" s="1170"/>
      <c r="Y174" s="1170"/>
      <c r="Z174" s="1170"/>
      <c r="AA174" s="1170"/>
      <c r="AB174" s="1170"/>
      <c r="AC174" s="1170"/>
      <c r="AD174" s="1170"/>
      <c r="AE174" s="1170"/>
      <c r="AF174" s="1170"/>
      <c r="AG174" s="1170"/>
      <c r="AH174" s="1170"/>
      <c r="AI174" s="1170"/>
      <c r="AJ174" s="1171"/>
      <c r="AK174" s="1171"/>
      <c r="AL174" s="1172"/>
    </row>
    <row r="175" spans="1:38" hidden="1" outlineLevel="2" x14ac:dyDescent="0.3">
      <c r="A175" s="1158"/>
      <c r="B175" s="1166"/>
      <c r="C175" s="1167"/>
      <c r="D175" s="1168"/>
      <c r="E175" s="1169"/>
      <c r="F175" s="1170"/>
      <c r="G175" s="1170"/>
      <c r="H175" s="1170"/>
      <c r="I175" s="1170"/>
      <c r="J175" s="1170"/>
      <c r="K175" s="1170"/>
      <c r="L175" s="1170"/>
      <c r="M175" s="1170"/>
      <c r="N175" s="1170"/>
      <c r="O175" s="1170"/>
      <c r="P175" s="1170"/>
      <c r="Q175" s="1170"/>
      <c r="R175" s="1170"/>
      <c r="S175" s="1170"/>
      <c r="T175" s="1170"/>
      <c r="U175" s="1170"/>
      <c r="V175" s="1170"/>
      <c r="W175" s="1170"/>
      <c r="X175" s="1170"/>
      <c r="Y175" s="1170"/>
      <c r="Z175" s="1170"/>
      <c r="AA175" s="1170"/>
      <c r="AB175" s="1170"/>
      <c r="AC175" s="1170"/>
      <c r="AD175" s="1170"/>
      <c r="AE175" s="1170"/>
      <c r="AF175" s="1170"/>
      <c r="AG175" s="1170"/>
      <c r="AH175" s="1170"/>
      <c r="AI175" s="1170"/>
      <c r="AJ175" s="1171"/>
      <c r="AK175" s="1171"/>
      <c r="AL175" s="1172"/>
    </row>
    <row r="176" spans="1:38" hidden="1" outlineLevel="2" x14ac:dyDescent="0.3">
      <c r="A176" s="1158"/>
      <c r="B176" s="1166"/>
      <c r="C176" s="1167"/>
      <c r="D176" s="1168"/>
      <c r="E176" s="1169"/>
      <c r="F176" s="1170"/>
      <c r="G176" s="1170"/>
      <c r="H176" s="1170"/>
      <c r="I176" s="1170"/>
      <c r="J176" s="1170"/>
      <c r="K176" s="1170"/>
      <c r="L176" s="1170"/>
      <c r="M176" s="1170"/>
      <c r="N176" s="1170"/>
      <c r="O176" s="1170"/>
      <c r="P176" s="1170"/>
      <c r="Q176" s="1170"/>
      <c r="R176" s="1170"/>
      <c r="S176" s="1170"/>
      <c r="T176" s="1170"/>
      <c r="U176" s="1170"/>
      <c r="V176" s="1170"/>
      <c r="W176" s="1170"/>
      <c r="X176" s="1170"/>
      <c r="Y176" s="1170"/>
      <c r="Z176" s="1170"/>
      <c r="AA176" s="1170"/>
      <c r="AB176" s="1170"/>
      <c r="AC176" s="1170"/>
      <c r="AD176" s="1170"/>
      <c r="AE176" s="1170"/>
      <c r="AF176" s="1170"/>
      <c r="AG176" s="1170"/>
      <c r="AH176" s="1170"/>
      <c r="AI176" s="1170"/>
      <c r="AJ176" s="1171"/>
      <c r="AK176" s="1171"/>
      <c r="AL176" s="1172"/>
    </row>
    <row r="177" spans="1:38" hidden="1" outlineLevel="2" x14ac:dyDescent="0.3">
      <c r="A177" s="1158"/>
      <c r="B177" s="1166"/>
      <c r="C177" s="1167"/>
      <c r="D177" s="1168"/>
      <c r="E177" s="1169"/>
      <c r="F177" s="1170"/>
      <c r="G177" s="1170"/>
      <c r="H177" s="1170"/>
      <c r="I177" s="1170"/>
      <c r="J177" s="1170"/>
      <c r="K177" s="1170"/>
      <c r="L177" s="1170"/>
      <c r="M177" s="1170"/>
      <c r="N177" s="1170"/>
      <c r="O177" s="1170"/>
      <c r="P177" s="1170"/>
      <c r="Q177" s="1170"/>
      <c r="R177" s="1170"/>
      <c r="S177" s="1170"/>
      <c r="T177" s="1170"/>
      <c r="U177" s="1170"/>
      <c r="V177" s="1170"/>
      <c r="W177" s="1170"/>
      <c r="X177" s="1170"/>
      <c r="Y177" s="1170"/>
      <c r="Z177" s="1170"/>
      <c r="AA177" s="1170"/>
      <c r="AB177" s="1170"/>
      <c r="AC177" s="1170"/>
      <c r="AD177" s="1170"/>
      <c r="AE177" s="1170"/>
      <c r="AF177" s="1170"/>
      <c r="AG177" s="1170"/>
      <c r="AH177" s="1170"/>
      <c r="AI177" s="1170"/>
      <c r="AJ177" s="1171"/>
      <c r="AK177" s="1171"/>
      <c r="AL177" s="1172"/>
    </row>
    <row r="178" spans="1:38" hidden="1" outlineLevel="2" x14ac:dyDescent="0.3">
      <c r="A178" s="1158"/>
      <c r="B178" s="1166"/>
      <c r="C178" s="1167"/>
      <c r="D178" s="1168"/>
      <c r="E178" s="1169"/>
      <c r="F178" s="1170"/>
      <c r="G178" s="1170"/>
      <c r="H178" s="1170"/>
      <c r="I178" s="1170"/>
      <c r="J178" s="1170"/>
      <c r="K178" s="1170"/>
      <c r="L178" s="1170"/>
      <c r="M178" s="1170"/>
      <c r="N178" s="1170"/>
      <c r="O178" s="1170"/>
      <c r="P178" s="1170"/>
      <c r="Q178" s="1170"/>
      <c r="R178" s="1170"/>
      <c r="S178" s="1170"/>
      <c r="T178" s="1170"/>
      <c r="U178" s="1170"/>
      <c r="V178" s="1170"/>
      <c r="W178" s="1170"/>
      <c r="X178" s="1170"/>
      <c r="Y178" s="1170"/>
      <c r="Z178" s="1170"/>
      <c r="AA178" s="1170"/>
      <c r="AB178" s="1170"/>
      <c r="AC178" s="1170"/>
      <c r="AD178" s="1170"/>
      <c r="AE178" s="1170"/>
      <c r="AF178" s="1170"/>
      <c r="AG178" s="1170"/>
      <c r="AH178" s="1170"/>
      <c r="AI178" s="1170"/>
      <c r="AJ178" s="1171"/>
      <c r="AK178" s="1171"/>
      <c r="AL178" s="1172"/>
    </row>
    <row r="179" spans="1:38" hidden="1" outlineLevel="2" x14ac:dyDescent="0.3">
      <c r="A179" s="1158"/>
      <c r="B179" s="1166"/>
      <c r="C179" s="1167"/>
      <c r="D179" s="1168"/>
      <c r="E179" s="1169"/>
      <c r="F179" s="1170"/>
      <c r="G179" s="1170"/>
      <c r="H179" s="1170"/>
      <c r="I179" s="1170"/>
      <c r="J179" s="1170"/>
      <c r="K179" s="1170"/>
      <c r="L179" s="1170"/>
      <c r="M179" s="1170"/>
      <c r="N179" s="1170"/>
      <c r="O179" s="1170"/>
      <c r="P179" s="1170"/>
      <c r="Q179" s="1170"/>
      <c r="R179" s="1170"/>
      <c r="S179" s="1170"/>
      <c r="T179" s="1170"/>
      <c r="U179" s="1170"/>
      <c r="V179" s="1170"/>
      <c r="W179" s="1170"/>
      <c r="X179" s="1170"/>
      <c r="Y179" s="1170"/>
      <c r="Z179" s="1170"/>
      <c r="AA179" s="1170"/>
      <c r="AB179" s="1170"/>
      <c r="AC179" s="1170"/>
      <c r="AD179" s="1170"/>
      <c r="AE179" s="1170"/>
      <c r="AF179" s="1170"/>
      <c r="AG179" s="1170"/>
      <c r="AH179" s="1170"/>
      <c r="AI179" s="1170"/>
      <c r="AJ179" s="1171"/>
      <c r="AK179" s="1171"/>
      <c r="AL179" s="1172"/>
    </row>
    <row r="180" spans="1:38" ht="15" outlineLevel="1" collapsed="1" thickBot="1" x14ac:dyDescent="0.35">
      <c r="A180" s="1158"/>
      <c r="B180" s="1173" t="s">
        <v>550</v>
      </c>
      <c r="C180" s="1174"/>
      <c r="D180" s="1175"/>
      <c r="E180" s="1176">
        <f>SUBTOTAL(9,E171:E173)</f>
        <v>0</v>
      </c>
      <c r="F180" s="1177"/>
      <c r="G180" s="1177">
        <f>SUBTOTAL(9,G171:G173)</f>
        <v>0</v>
      </c>
      <c r="H180" s="1177"/>
      <c r="I180" s="1177">
        <f>SUBTOTAL(9,I171:I173)</f>
        <v>0</v>
      </c>
      <c r="J180" s="1177"/>
      <c r="K180" s="1177">
        <f>SUBTOTAL(9,K171:K173)</f>
        <v>0</v>
      </c>
      <c r="L180" s="1177"/>
      <c r="M180" s="1177">
        <f>SUBTOTAL(9,M171:M173)</f>
        <v>0</v>
      </c>
      <c r="N180" s="1177"/>
      <c r="O180" s="1177">
        <f>SUBTOTAL(9,O171:O173)</f>
        <v>0</v>
      </c>
      <c r="P180" s="1177"/>
      <c r="Q180" s="1177">
        <f>SUBTOTAL(9,Q171:Q173)</f>
        <v>0</v>
      </c>
      <c r="R180" s="1177"/>
      <c r="S180" s="1177">
        <f>SUBTOTAL(9,S171:S173)</f>
        <v>0</v>
      </c>
      <c r="T180" s="1177"/>
      <c r="U180" s="1177">
        <f>SUBTOTAL(9,U171:U173)</f>
        <v>0</v>
      </c>
      <c r="V180" s="1177"/>
      <c r="W180" s="1177">
        <f>SUBTOTAL(9,W171:W173)</f>
        <v>0</v>
      </c>
      <c r="X180" s="1177"/>
      <c r="Y180" s="1177">
        <f>SUBTOTAL(9,Y171:Y173)</f>
        <v>0</v>
      </c>
      <c r="Z180" s="1177"/>
      <c r="AA180" s="1177">
        <f>SUBTOTAL(9,AA171:AA173)</f>
        <v>0</v>
      </c>
      <c r="AB180" s="1177"/>
      <c r="AC180" s="1177">
        <f>SUBTOTAL(9,AC171:AC173)</f>
        <v>0</v>
      </c>
      <c r="AD180" s="1177"/>
      <c r="AE180" s="1177">
        <f>SUBTOTAL(9,AE171:AE173)</f>
        <v>0</v>
      </c>
      <c r="AF180" s="1177"/>
      <c r="AG180" s="1177">
        <f>SUBTOTAL(9,AG171:AG173)</f>
        <v>0</v>
      </c>
      <c r="AH180" s="1177"/>
      <c r="AI180" s="1177">
        <f>SUBTOTAL(9,AI171:AI173)</f>
        <v>0</v>
      </c>
      <c r="AJ180" s="1178"/>
      <c r="AK180" s="1178"/>
      <c r="AL180" s="1179"/>
    </row>
    <row r="181" spans="1:38" ht="18" outlineLevel="1" x14ac:dyDescent="0.35">
      <c r="A181" s="1180" t="s">
        <v>1464</v>
      </c>
      <c r="B181" s="1181"/>
      <c r="C181" s="1182"/>
      <c r="D181" s="1183"/>
      <c r="E181" s="1184"/>
      <c r="F181" s="1185"/>
      <c r="G181" s="1185"/>
      <c r="H181" s="1185"/>
      <c r="I181" s="1185"/>
      <c r="J181" s="1185"/>
      <c r="K181" s="1185"/>
      <c r="L181" s="1185"/>
      <c r="M181" s="1185"/>
      <c r="N181" s="1185"/>
      <c r="O181" s="1185"/>
      <c r="P181" s="1185"/>
      <c r="Q181" s="1185"/>
      <c r="R181" s="1185"/>
      <c r="S181" s="1185"/>
      <c r="T181" s="1185"/>
      <c r="U181" s="1185"/>
      <c r="V181" s="1185"/>
      <c r="W181" s="1185"/>
      <c r="X181" s="1185"/>
      <c r="Y181" s="1185"/>
      <c r="Z181" s="1185"/>
      <c r="AA181" s="1185"/>
      <c r="AB181" s="1185"/>
      <c r="AC181" s="1185"/>
      <c r="AD181" s="1185"/>
      <c r="AE181" s="1185"/>
      <c r="AF181" s="1185"/>
      <c r="AG181" s="1185"/>
      <c r="AH181" s="1185"/>
      <c r="AI181" s="1185"/>
      <c r="AJ181" s="1186"/>
      <c r="AK181" s="1186"/>
      <c r="AL181" s="1187"/>
    </row>
    <row r="182" spans="1:38" hidden="1" outlineLevel="2" x14ac:dyDescent="0.3">
      <c r="A182" s="1188"/>
      <c r="B182" s="1189"/>
      <c r="C182" s="1190"/>
      <c r="D182" s="1191"/>
      <c r="E182" s="1192"/>
      <c r="F182" s="1193"/>
      <c r="G182" s="1193"/>
      <c r="H182" s="1193"/>
      <c r="I182" s="1193"/>
      <c r="J182" s="1193"/>
      <c r="K182" s="1193"/>
      <c r="L182" s="1193"/>
      <c r="M182" s="1193"/>
      <c r="N182" s="1193"/>
      <c r="O182" s="1193"/>
      <c r="P182" s="1193"/>
      <c r="Q182" s="1193"/>
      <c r="R182" s="1193"/>
      <c r="S182" s="1193"/>
      <c r="T182" s="1193"/>
      <c r="U182" s="1193"/>
      <c r="V182" s="1193"/>
      <c r="W182" s="1193"/>
      <c r="X182" s="1193"/>
      <c r="Y182" s="1193"/>
      <c r="Z182" s="1193"/>
      <c r="AA182" s="1193"/>
      <c r="AB182" s="1193"/>
      <c r="AC182" s="1193"/>
      <c r="AD182" s="1193"/>
      <c r="AE182" s="1193"/>
      <c r="AF182" s="1193"/>
      <c r="AG182" s="1193"/>
      <c r="AH182" s="1193"/>
      <c r="AI182" s="1193"/>
      <c r="AJ182" s="1194"/>
      <c r="AK182" s="1194"/>
      <c r="AL182" s="1195"/>
    </row>
    <row r="183" spans="1:38" hidden="1" outlineLevel="2" x14ac:dyDescent="0.3">
      <c r="A183" s="1188"/>
      <c r="B183" s="1189"/>
      <c r="C183" s="1190"/>
      <c r="D183" s="1191"/>
      <c r="E183" s="1192"/>
      <c r="F183" s="1193"/>
      <c r="G183" s="1193"/>
      <c r="H183" s="1193"/>
      <c r="I183" s="1193"/>
      <c r="J183" s="1193"/>
      <c r="K183" s="1193"/>
      <c r="L183" s="1193"/>
      <c r="M183" s="1193"/>
      <c r="N183" s="1193"/>
      <c r="O183" s="1193"/>
      <c r="P183" s="1193"/>
      <c r="Q183" s="1193"/>
      <c r="R183" s="1193"/>
      <c r="S183" s="1193"/>
      <c r="T183" s="1193"/>
      <c r="U183" s="1193"/>
      <c r="V183" s="1193"/>
      <c r="W183" s="1193"/>
      <c r="X183" s="1193"/>
      <c r="Y183" s="1193"/>
      <c r="Z183" s="1193"/>
      <c r="AA183" s="1193"/>
      <c r="AB183" s="1193"/>
      <c r="AC183" s="1193"/>
      <c r="AD183" s="1193"/>
      <c r="AE183" s="1193"/>
      <c r="AF183" s="1193"/>
      <c r="AG183" s="1193"/>
      <c r="AH183" s="1193"/>
      <c r="AI183" s="1193"/>
      <c r="AJ183" s="1194"/>
      <c r="AK183" s="1194"/>
      <c r="AL183" s="1195"/>
    </row>
    <row r="184" spans="1:38" hidden="1" outlineLevel="2" x14ac:dyDescent="0.3">
      <c r="A184" s="1188"/>
      <c r="B184" s="1196"/>
      <c r="C184" s="1197"/>
      <c r="D184" s="1198"/>
      <c r="E184" s="1199"/>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c r="AA184" s="1200"/>
      <c r="AB184" s="1200"/>
      <c r="AC184" s="1200"/>
      <c r="AD184" s="1200"/>
      <c r="AE184" s="1200"/>
      <c r="AF184" s="1200"/>
      <c r="AG184" s="1200"/>
      <c r="AH184" s="1200"/>
      <c r="AI184" s="1200"/>
      <c r="AJ184" s="1201"/>
      <c r="AK184" s="1201"/>
      <c r="AL184" s="1202"/>
    </row>
    <row r="185" spans="1:38" hidden="1" outlineLevel="2" x14ac:dyDescent="0.3">
      <c r="A185" s="1188"/>
      <c r="B185" s="1196"/>
      <c r="C185" s="1197"/>
      <c r="D185" s="1198"/>
      <c r="E185" s="1199"/>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c r="AA185" s="1200"/>
      <c r="AB185" s="1200"/>
      <c r="AC185" s="1200"/>
      <c r="AD185" s="1200"/>
      <c r="AE185" s="1200"/>
      <c r="AF185" s="1200"/>
      <c r="AG185" s="1200"/>
      <c r="AH185" s="1200"/>
      <c r="AI185" s="1200"/>
      <c r="AJ185" s="1201"/>
      <c r="AK185" s="1201"/>
      <c r="AL185" s="1202"/>
    </row>
    <row r="186" spans="1:38" hidden="1" outlineLevel="2" x14ac:dyDescent="0.3">
      <c r="A186" s="1188"/>
      <c r="B186" s="1196"/>
      <c r="C186" s="1197"/>
      <c r="D186" s="1198"/>
      <c r="E186" s="1199"/>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c r="AA186" s="1200"/>
      <c r="AB186" s="1200"/>
      <c r="AC186" s="1200"/>
      <c r="AD186" s="1200"/>
      <c r="AE186" s="1200"/>
      <c r="AF186" s="1200"/>
      <c r="AG186" s="1200"/>
      <c r="AH186" s="1200"/>
      <c r="AI186" s="1200"/>
      <c r="AJ186" s="1201"/>
      <c r="AK186" s="1201"/>
      <c r="AL186" s="1202"/>
    </row>
    <row r="187" spans="1:38" hidden="1" outlineLevel="2" x14ac:dyDescent="0.3">
      <c r="A187" s="1188"/>
      <c r="B187" s="1196"/>
      <c r="C187" s="1197"/>
      <c r="D187" s="1198"/>
      <c r="E187" s="1199"/>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c r="AA187" s="1200"/>
      <c r="AB187" s="1200"/>
      <c r="AC187" s="1200"/>
      <c r="AD187" s="1200"/>
      <c r="AE187" s="1200"/>
      <c r="AF187" s="1200"/>
      <c r="AG187" s="1200"/>
      <c r="AH187" s="1200"/>
      <c r="AI187" s="1200"/>
      <c r="AJ187" s="1201"/>
      <c r="AK187" s="1201"/>
      <c r="AL187" s="1202"/>
    </row>
    <row r="188" spans="1:38" hidden="1" outlineLevel="2" x14ac:dyDescent="0.3">
      <c r="A188" s="1188"/>
      <c r="B188" s="1196"/>
      <c r="C188" s="1197"/>
      <c r="D188" s="1198"/>
      <c r="E188" s="1199"/>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c r="AA188" s="1200"/>
      <c r="AB188" s="1200"/>
      <c r="AC188" s="1200"/>
      <c r="AD188" s="1200"/>
      <c r="AE188" s="1200"/>
      <c r="AF188" s="1200"/>
      <c r="AG188" s="1200"/>
      <c r="AH188" s="1200"/>
      <c r="AI188" s="1200"/>
      <c r="AJ188" s="1201"/>
      <c r="AK188" s="1201"/>
      <c r="AL188" s="1202"/>
    </row>
    <row r="189" spans="1:38" ht="15" outlineLevel="1" collapsed="1" thickBot="1" x14ac:dyDescent="0.35">
      <c r="A189" s="1188"/>
      <c r="B189" s="1203" t="s">
        <v>550</v>
      </c>
      <c r="C189" s="1204"/>
      <c r="D189" s="1205"/>
      <c r="E189" s="1206">
        <f>SUBTOTAL(9,E181:E183)</f>
        <v>0</v>
      </c>
      <c r="F189" s="1207"/>
      <c r="G189" s="1207">
        <f>SUBTOTAL(9,G181:G183)</f>
        <v>0</v>
      </c>
      <c r="H189" s="1207"/>
      <c r="I189" s="1207">
        <f>SUBTOTAL(9,I181:I183)</f>
        <v>0</v>
      </c>
      <c r="J189" s="1207"/>
      <c r="K189" s="1207">
        <f>SUBTOTAL(9,K181:K183)</f>
        <v>0</v>
      </c>
      <c r="L189" s="1207"/>
      <c r="M189" s="1207">
        <f>SUBTOTAL(9,M181:M183)</f>
        <v>0</v>
      </c>
      <c r="N189" s="1207"/>
      <c r="O189" s="1207">
        <f>SUBTOTAL(9,O181:O183)</f>
        <v>0</v>
      </c>
      <c r="P189" s="1207"/>
      <c r="Q189" s="1207">
        <f>SUBTOTAL(9,Q181:Q183)</f>
        <v>0</v>
      </c>
      <c r="R189" s="1207"/>
      <c r="S189" s="1207">
        <f>SUBTOTAL(9,S181:S183)</f>
        <v>0</v>
      </c>
      <c r="T189" s="1207"/>
      <c r="U189" s="1207">
        <f>SUBTOTAL(9,U181:U183)</f>
        <v>0</v>
      </c>
      <c r="V189" s="1207"/>
      <c r="W189" s="1207">
        <f>SUBTOTAL(9,W181:W183)</f>
        <v>0</v>
      </c>
      <c r="X189" s="1207"/>
      <c r="Y189" s="1207">
        <f>SUBTOTAL(9,Y181:Y183)</f>
        <v>0</v>
      </c>
      <c r="Z189" s="1207"/>
      <c r="AA189" s="1207">
        <f>SUBTOTAL(9,AA181:AA183)</f>
        <v>0</v>
      </c>
      <c r="AB189" s="1207"/>
      <c r="AC189" s="1207">
        <f>SUBTOTAL(9,AC181:AC183)</f>
        <v>0</v>
      </c>
      <c r="AD189" s="1207"/>
      <c r="AE189" s="1207">
        <f>SUBTOTAL(9,AE181:AE183)</f>
        <v>0</v>
      </c>
      <c r="AF189" s="1207"/>
      <c r="AG189" s="1207">
        <f>SUBTOTAL(9,AG181:AG183)</f>
        <v>0</v>
      </c>
      <c r="AH189" s="1207"/>
      <c r="AI189" s="1207">
        <f>SUBTOTAL(9,AI181:AI183)</f>
        <v>0</v>
      </c>
      <c r="AJ189" s="1208"/>
      <c r="AK189" s="1208"/>
      <c r="AL189" s="1209"/>
    </row>
    <row r="190" spans="1:38" x14ac:dyDescent="0.3">
      <c r="A190" s="98"/>
      <c r="B190" s="660"/>
      <c r="C190" s="660"/>
      <c r="D190" s="660"/>
      <c r="E190" s="941">
        <f>SUM(E189,E180,E169)</f>
        <v>0</v>
      </c>
      <c r="F190" s="941"/>
      <c r="G190" s="941">
        <f>SUM(G189,G180,G169)</f>
        <v>0</v>
      </c>
      <c r="H190" s="941"/>
      <c r="I190" s="941">
        <f>SUM(I189,I180,I169)</f>
        <v>0</v>
      </c>
      <c r="J190" s="941"/>
      <c r="K190" s="941">
        <v>9600</v>
      </c>
      <c r="L190" s="941"/>
      <c r="M190" s="941">
        <f>SUM(M189,M180,M169)</f>
        <v>0</v>
      </c>
      <c r="N190" s="941"/>
      <c r="O190" s="941">
        <f>SUM(O189,O180,O169)</f>
        <v>0</v>
      </c>
      <c r="P190" s="941"/>
      <c r="Q190" s="941">
        <f>SUM(Q189,Q180,Q169)</f>
        <v>0</v>
      </c>
      <c r="R190" s="941"/>
      <c r="S190" s="941">
        <f>SUM(S189,S180,S169)</f>
        <v>0</v>
      </c>
      <c r="T190" s="941"/>
      <c r="U190" s="941">
        <f>SUM(U189,U180,U169)</f>
        <v>0</v>
      </c>
      <c r="V190" s="941"/>
      <c r="W190" s="941">
        <f>SUM(W189,W180,W169)</f>
        <v>0</v>
      </c>
      <c r="X190" s="941"/>
      <c r="Y190" s="941">
        <f>SUM(Y189,Y180,Y169)</f>
        <v>0</v>
      </c>
      <c r="Z190" s="941"/>
      <c r="AA190" s="941">
        <f>SUM(AA189,AA180,AA169)</f>
        <v>0</v>
      </c>
      <c r="AB190" s="941"/>
      <c r="AC190" s="941">
        <f>SUM(AC189,AC180,AC169)</f>
        <v>0</v>
      </c>
      <c r="AD190" s="941"/>
      <c r="AE190" s="941">
        <f>SUM(AE189,AE180,AE169)</f>
        <v>0</v>
      </c>
      <c r="AF190" s="941"/>
      <c r="AG190" s="941">
        <f>SUM(AG189,AG180,AG169)</f>
        <v>0</v>
      </c>
      <c r="AH190" s="941"/>
      <c r="AI190" s="941">
        <f>SUM(AI189,AI180,AI169)</f>
        <v>0</v>
      </c>
      <c r="AJ190" s="941"/>
      <c r="AK190" s="941"/>
      <c r="AL190" s="941">
        <f>SUM(K190:AI190)-SUM(E190:I190)</f>
        <v>9600</v>
      </c>
    </row>
    <row r="191" spans="1:38" ht="15.6" x14ac:dyDescent="0.3">
      <c r="B191" s="76"/>
      <c r="C191" s="76"/>
      <c r="D191" s="79"/>
      <c r="E191" s="1112"/>
      <c r="F191" s="1112"/>
      <c r="G191" s="660"/>
      <c r="H191" s="1112"/>
      <c r="I191" s="660"/>
      <c r="J191" s="1112"/>
      <c r="K191" s="660"/>
      <c r="L191" s="1112"/>
      <c r="M191" s="660"/>
      <c r="N191" s="1112"/>
      <c r="O191" s="660"/>
      <c r="P191" s="1112"/>
      <c r="Q191" s="660"/>
      <c r="R191" s="1112"/>
      <c r="S191" s="660"/>
      <c r="T191" s="1112"/>
      <c r="U191" s="660"/>
      <c r="V191" s="1112"/>
      <c r="W191" s="660"/>
      <c r="X191" s="1112"/>
      <c r="Y191" s="660"/>
      <c r="Z191" s="1112"/>
      <c r="AA191" s="660"/>
      <c r="AB191" s="1112"/>
      <c r="AC191" s="660"/>
      <c r="AD191" s="1112"/>
      <c r="AE191" s="660"/>
      <c r="AF191" s="1112"/>
      <c r="AG191" s="660"/>
      <c r="AH191" s="1112"/>
      <c r="AI191" s="660"/>
      <c r="AJ191" s="660"/>
      <c r="AK191" s="1108"/>
      <c r="AL191" s="1106"/>
    </row>
    <row r="192" spans="1:38" ht="18" x14ac:dyDescent="0.3">
      <c r="A192" s="1110" t="s">
        <v>1468</v>
      </c>
      <c r="B192" s="1111"/>
      <c r="C192" s="1111"/>
      <c r="D192" s="1111"/>
      <c r="E192" s="1112"/>
      <c r="F192" s="1112"/>
      <c r="G192" s="660"/>
      <c r="H192" s="660"/>
      <c r="I192" s="660"/>
      <c r="J192" s="660"/>
      <c r="K192" s="660"/>
      <c r="L192" s="660"/>
      <c r="M192" s="660"/>
      <c r="N192" s="660"/>
      <c r="O192" s="660"/>
      <c r="P192" s="660"/>
      <c r="Q192" s="660"/>
      <c r="R192" s="660"/>
      <c r="S192" s="660"/>
      <c r="T192" s="660"/>
      <c r="U192" s="660"/>
      <c r="V192" s="660"/>
      <c r="W192" s="660"/>
      <c r="X192" s="660"/>
      <c r="Y192" s="660"/>
      <c r="Z192" s="660"/>
      <c r="AA192" s="660"/>
      <c r="AB192" s="660"/>
      <c r="AC192" s="660"/>
      <c r="AD192" s="660"/>
      <c r="AE192" s="660"/>
      <c r="AF192" s="660"/>
      <c r="AG192" s="660"/>
      <c r="AH192" s="660"/>
      <c r="AI192" s="660"/>
      <c r="AJ192" s="660"/>
      <c r="AK192" s="660"/>
    </row>
    <row r="193" spans="1:38" ht="15" thickBot="1" x14ac:dyDescent="0.35">
      <c r="A193" s="39"/>
      <c r="B193" s="1113"/>
      <c r="C193" s="1113"/>
      <c r="D193" s="1114" t="s">
        <v>1407</v>
      </c>
      <c r="E193" s="1115" t="s">
        <v>69</v>
      </c>
      <c r="F193" s="1116" t="s">
        <v>8</v>
      </c>
      <c r="G193" s="1115" t="s">
        <v>83</v>
      </c>
      <c r="H193" s="1116" t="s">
        <v>8</v>
      </c>
      <c r="I193" s="1115" t="s">
        <v>90</v>
      </c>
      <c r="J193" s="1116" t="s">
        <v>8</v>
      </c>
      <c r="K193" s="1117" t="s">
        <v>134</v>
      </c>
      <c r="L193" s="1118" t="s">
        <v>8</v>
      </c>
      <c r="M193" s="1117" t="s">
        <v>136</v>
      </c>
      <c r="N193" s="1118" t="s">
        <v>8</v>
      </c>
      <c r="O193" s="1117" t="s">
        <v>728</v>
      </c>
      <c r="P193" s="1118" t="s">
        <v>8</v>
      </c>
      <c r="Q193" s="1117" t="s">
        <v>266</v>
      </c>
      <c r="R193" s="1118" t="s">
        <v>8</v>
      </c>
      <c r="S193" s="1117" t="s">
        <v>292</v>
      </c>
      <c r="T193" s="1118" t="s">
        <v>8</v>
      </c>
      <c r="U193" s="1117" t="s">
        <v>335</v>
      </c>
      <c r="V193" s="1118" t="s">
        <v>8</v>
      </c>
      <c r="W193" s="1117" t="s">
        <v>346</v>
      </c>
      <c r="X193" s="1118" t="s">
        <v>8</v>
      </c>
      <c r="Y193" s="1117" t="s">
        <v>357</v>
      </c>
      <c r="Z193" s="1118" t="s">
        <v>8</v>
      </c>
      <c r="AA193" s="1117" t="s">
        <v>364</v>
      </c>
      <c r="AB193" s="1118" t="s">
        <v>8</v>
      </c>
      <c r="AC193" s="1117" t="s">
        <v>376</v>
      </c>
      <c r="AD193" s="1118" t="s">
        <v>8</v>
      </c>
      <c r="AE193" s="1117" t="s">
        <v>386</v>
      </c>
      <c r="AF193" s="1118" t="s">
        <v>8</v>
      </c>
      <c r="AG193" s="1117" t="s">
        <v>398</v>
      </c>
      <c r="AH193" s="1118" t="s">
        <v>8</v>
      </c>
      <c r="AI193" s="1117" t="s">
        <v>424</v>
      </c>
      <c r="AJ193" s="1119" t="s">
        <v>8</v>
      </c>
      <c r="AK193" s="1120" t="s">
        <v>1404</v>
      </c>
      <c r="AL193" s="1121" t="s">
        <v>1405</v>
      </c>
    </row>
    <row r="194" spans="1:38" s="39" customFormat="1" ht="21" customHeight="1" outlineLevel="1" x14ac:dyDescent="0.35">
      <c r="A194" s="1122" t="s">
        <v>1223</v>
      </c>
      <c r="B194" s="1123" t="s">
        <v>625</v>
      </c>
      <c r="C194" s="1124" t="s">
        <v>1408</v>
      </c>
      <c r="D194" s="1125" t="s">
        <v>1409</v>
      </c>
      <c r="E194" s="1126"/>
      <c r="F194" s="1127"/>
      <c r="G194" s="1127"/>
      <c r="H194" s="1127"/>
      <c r="I194" s="1127"/>
      <c r="J194" s="1127"/>
      <c r="K194" s="1127"/>
      <c r="L194" s="1127"/>
      <c r="M194" s="1127"/>
      <c r="N194" s="1127"/>
      <c r="O194" s="1127"/>
      <c r="P194" s="1127"/>
      <c r="Q194" s="1127"/>
      <c r="R194" s="1127"/>
      <c r="S194" s="1127"/>
      <c r="T194" s="1127"/>
      <c r="U194" s="1127"/>
      <c r="V194" s="1127"/>
      <c r="W194" s="1127"/>
      <c r="X194" s="1127"/>
      <c r="Y194" s="1127"/>
      <c r="Z194" s="1127"/>
      <c r="AA194" s="1127"/>
      <c r="AB194" s="1127"/>
      <c r="AC194" s="1127"/>
      <c r="AD194" s="1127"/>
      <c r="AE194" s="1127"/>
      <c r="AF194" s="1127"/>
      <c r="AG194" s="1127"/>
      <c r="AH194" s="1127"/>
      <c r="AI194" s="1127"/>
      <c r="AJ194" s="1128"/>
      <c r="AK194" s="1128"/>
      <c r="AL194" s="1129"/>
    </row>
    <row r="195" spans="1:38" hidden="1" outlineLevel="2" x14ac:dyDescent="0.3">
      <c r="A195" s="1130"/>
      <c r="B195" s="1131"/>
      <c r="C195" s="1132"/>
      <c r="D195" s="1133"/>
      <c r="E195" s="1134"/>
      <c r="F195" s="1135"/>
      <c r="G195" s="1135"/>
      <c r="H195" s="1135"/>
      <c r="I195" s="1135"/>
      <c r="J195" s="1135"/>
      <c r="K195" s="1135"/>
      <c r="L195" s="1135"/>
      <c r="M195" s="1135"/>
      <c r="N195" s="1135"/>
      <c r="O195" s="1135"/>
      <c r="P195" s="1135"/>
      <c r="Q195" s="1135"/>
      <c r="R195" s="1135"/>
      <c r="S195" s="1135"/>
      <c r="T195" s="1135"/>
      <c r="U195" s="1135"/>
      <c r="V195" s="1135"/>
      <c r="W195" s="1135"/>
      <c r="X195" s="1135"/>
      <c r="Y195" s="1135"/>
      <c r="Z195" s="1135"/>
      <c r="AA195" s="1135"/>
      <c r="AB195" s="1135"/>
      <c r="AC195" s="1135"/>
      <c r="AD195" s="1135"/>
      <c r="AE195" s="1135"/>
      <c r="AF195" s="1135"/>
      <c r="AG195" s="1135"/>
      <c r="AH195" s="1135"/>
      <c r="AI195" s="1135"/>
      <c r="AJ195" s="1136"/>
      <c r="AK195" s="1136"/>
      <c r="AL195" s="1137"/>
    </row>
    <row r="196" spans="1:38" ht="42" hidden="1" customHeight="1" outlineLevel="2" x14ac:dyDescent="0.3">
      <c r="A196" s="1130"/>
      <c r="B196" s="1131"/>
      <c r="C196" s="1132"/>
      <c r="D196" s="1133"/>
      <c r="E196" s="1134"/>
      <c r="F196" s="1135"/>
      <c r="G196" s="1135"/>
      <c r="H196" s="1135"/>
      <c r="I196" s="1135"/>
      <c r="J196" s="1135"/>
      <c r="K196" s="1135"/>
      <c r="L196" s="1135"/>
      <c r="M196" s="1135"/>
      <c r="N196" s="1135"/>
      <c r="O196" s="1135"/>
      <c r="P196" s="1135"/>
      <c r="Q196" s="1135"/>
      <c r="R196" s="1135"/>
      <c r="S196" s="1135"/>
      <c r="T196" s="1135"/>
      <c r="U196" s="1135"/>
      <c r="V196" s="1135"/>
      <c r="W196" s="1135"/>
      <c r="X196" s="1135"/>
      <c r="Y196" s="1135"/>
      <c r="Z196" s="1135"/>
      <c r="AA196" s="1135"/>
      <c r="AB196" s="1135"/>
      <c r="AC196" s="1135"/>
      <c r="AD196" s="1135"/>
      <c r="AE196" s="1135"/>
      <c r="AF196" s="1135"/>
      <c r="AG196" s="1135"/>
      <c r="AH196" s="1135"/>
      <c r="AI196" s="1135"/>
      <c r="AJ196" s="1136"/>
      <c r="AK196" s="1137">
        <f t="shared" ref="AK196:AL227" si="12">SUM(E196,G196,I196)-SUM(K196,M196,O196,Q196,S196,U196,W196,Y196,AA196,AC196,AE196,AG196,AI196)</f>
        <v>0</v>
      </c>
      <c r="AL196" s="1137">
        <f t="shared" si="12"/>
        <v>0</v>
      </c>
    </row>
    <row r="197" spans="1:38" hidden="1" outlineLevel="2" x14ac:dyDescent="0.3">
      <c r="A197" s="1130"/>
      <c r="B197" s="1131"/>
      <c r="C197" s="1132"/>
      <c r="D197" s="1133"/>
      <c r="E197" s="1134"/>
      <c r="F197" s="1135"/>
      <c r="G197" s="1135"/>
      <c r="H197" s="1135"/>
      <c r="I197" s="1135"/>
      <c r="J197" s="1135"/>
      <c r="K197" s="1135"/>
      <c r="L197" s="1135"/>
      <c r="M197" s="1135"/>
      <c r="N197" s="1135"/>
      <c r="O197" s="1135"/>
      <c r="P197" s="1135"/>
      <c r="Q197" s="1135"/>
      <c r="R197" s="1135"/>
      <c r="S197" s="1135"/>
      <c r="T197" s="1135"/>
      <c r="U197" s="1135"/>
      <c r="V197" s="1135"/>
      <c r="W197" s="1135"/>
      <c r="X197" s="1135"/>
      <c r="Y197" s="1135"/>
      <c r="Z197" s="1135"/>
      <c r="AA197" s="1135"/>
      <c r="AB197" s="1135"/>
      <c r="AC197" s="1135"/>
      <c r="AD197" s="1135"/>
      <c r="AE197" s="1135"/>
      <c r="AF197" s="1135"/>
      <c r="AG197" s="1135"/>
      <c r="AH197" s="1135"/>
      <c r="AI197" s="1135"/>
      <c r="AJ197" s="1136"/>
      <c r="AK197" s="1137">
        <f t="shared" si="12"/>
        <v>0</v>
      </c>
      <c r="AL197" s="1137">
        <f t="shared" si="12"/>
        <v>0</v>
      </c>
    </row>
    <row r="198" spans="1:38" hidden="1" outlineLevel="2" x14ac:dyDescent="0.3">
      <c r="A198" s="1130"/>
      <c r="B198" s="1138"/>
      <c r="C198" s="1139"/>
      <c r="D198" s="1140"/>
      <c r="E198" s="1134"/>
      <c r="F198" s="1141"/>
      <c r="G198" s="1141"/>
      <c r="H198" s="1141"/>
      <c r="I198" s="1141"/>
      <c r="J198" s="1141"/>
      <c r="K198" s="1135"/>
      <c r="L198" s="1141"/>
      <c r="M198" s="1141"/>
      <c r="N198" s="1141"/>
      <c r="O198" s="1141"/>
      <c r="P198" s="1141"/>
      <c r="Q198" s="1141"/>
      <c r="R198" s="1141"/>
      <c r="S198" s="1141"/>
      <c r="T198" s="1141"/>
      <c r="U198" s="1135"/>
      <c r="V198" s="1141"/>
      <c r="W198" s="1141"/>
      <c r="X198" s="1141"/>
      <c r="Y198" s="1141"/>
      <c r="Z198" s="1141"/>
      <c r="AA198" s="1141"/>
      <c r="AB198" s="1141"/>
      <c r="AC198" s="1141"/>
      <c r="AD198" s="1141"/>
      <c r="AE198" s="1135"/>
      <c r="AF198" s="1141"/>
      <c r="AG198" s="1135"/>
      <c r="AH198" s="1141"/>
      <c r="AI198" s="1141"/>
      <c r="AJ198" s="1142"/>
      <c r="AK198" s="1137">
        <f t="shared" si="12"/>
        <v>0</v>
      </c>
      <c r="AL198" s="1137">
        <f t="shared" si="12"/>
        <v>0</v>
      </c>
    </row>
    <row r="199" spans="1:38" hidden="1" outlineLevel="2" x14ac:dyDescent="0.3">
      <c r="A199" s="1130"/>
      <c r="B199" s="1138"/>
      <c r="C199" s="1139"/>
      <c r="D199" s="1140"/>
      <c r="E199" s="1134"/>
      <c r="F199" s="1141"/>
      <c r="G199" s="1141"/>
      <c r="H199" s="1141"/>
      <c r="I199" s="1141"/>
      <c r="J199" s="1141"/>
      <c r="K199" s="1135"/>
      <c r="L199" s="1141"/>
      <c r="M199" s="1141"/>
      <c r="N199" s="1141"/>
      <c r="O199" s="1141"/>
      <c r="P199" s="1141"/>
      <c r="Q199" s="1141"/>
      <c r="R199" s="1141"/>
      <c r="S199" s="1141"/>
      <c r="T199" s="1141"/>
      <c r="U199" s="1135"/>
      <c r="V199" s="1141"/>
      <c r="W199" s="1141"/>
      <c r="X199" s="1141"/>
      <c r="Y199" s="1141"/>
      <c r="Z199" s="1141"/>
      <c r="AA199" s="1141"/>
      <c r="AB199" s="1141"/>
      <c r="AC199" s="1141"/>
      <c r="AD199" s="1141"/>
      <c r="AE199" s="1135"/>
      <c r="AF199" s="1141"/>
      <c r="AG199" s="1135"/>
      <c r="AH199" s="1141"/>
      <c r="AI199" s="1141"/>
      <c r="AJ199" s="1142"/>
      <c r="AK199" s="1137">
        <f t="shared" si="12"/>
        <v>0</v>
      </c>
      <c r="AL199" s="1137">
        <f t="shared" si="12"/>
        <v>0</v>
      </c>
    </row>
    <row r="200" spans="1:38" hidden="1" outlineLevel="2" x14ac:dyDescent="0.3">
      <c r="A200" s="1130"/>
      <c r="B200" s="1138"/>
      <c r="C200" s="1139"/>
      <c r="D200" s="1140"/>
      <c r="E200" s="1134"/>
      <c r="F200" s="1141"/>
      <c r="G200" s="1141"/>
      <c r="H200" s="1141"/>
      <c r="I200" s="1141"/>
      <c r="J200" s="1141"/>
      <c r="K200" s="1135"/>
      <c r="L200" s="1141"/>
      <c r="M200" s="1141"/>
      <c r="N200" s="1141"/>
      <c r="O200" s="1141"/>
      <c r="P200" s="1141"/>
      <c r="Q200" s="1141"/>
      <c r="R200" s="1141"/>
      <c r="S200" s="1141"/>
      <c r="T200" s="1141"/>
      <c r="U200" s="1135"/>
      <c r="V200" s="1141"/>
      <c r="W200" s="1141"/>
      <c r="X200" s="1141"/>
      <c r="Y200" s="1141"/>
      <c r="Z200" s="1141"/>
      <c r="AA200" s="1141"/>
      <c r="AB200" s="1141"/>
      <c r="AC200" s="1141"/>
      <c r="AD200" s="1141"/>
      <c r="AE200" s="1135"/>
      <c r="AF200" s="1141"/>
      <c r="AG200" s="1135"/>
      <c r="AH200" s="1141"/>
      <c r="AI200" s="1141"/>
      <c r="AJ200" s="1142"/>
      <c r="AK200" s="1137">
        <f t="shared" si="12"/>
        <v>0</v>
      </c>
      <c r="AL200" s="1137">
        <f t="shared" si="12"/>
        <v>0</v>
      </c>
    </row>
    <row r="201" spans="1:38" hidden="1" outlineLevel="2" x14ac:dyDescent="0.3">
      <c r="A201" s="1130"/>
      <c r="B201" s="1138"/>
      <c r="C201" s="1139"/>
      <c r="D201" s="1140"/>
      <c r="E201" s="1134"/>
      <c r="F201" s="1141"/>
      <c r="G201" s="1141"/>
      <c r="H201" s="1141"/>
      <c r="I201" s="1141"/>
      <c r="J201" s="1141"/>
      <c r="K201" s="1135"/>
      <c r="L201" s="1141"/>
      <c r="M201" s="1141"/>
      <c r="N201" s="1141"/>
      <c r="O201" s="1141"/>
      <c r="P201" s="1141"/>
      <c r="Q201" s="1141"/>
      <c r="R201" s="1141"/>
      <c r="S201" s="1141"/>
      <c r="T201" s="1141"/>
      <c r="U201" s="1135"/>
      <c r="V201" s="1141"/>
      <c r="W201" s="1141"/>
      <c r="X201" s="1141"/>
      <c r="Y201" s="1141"/>
      <c r="Z201" s="1141"/>
      <c r="AA201" s="1141"/>
      <c r="AB201" s="1141"/>
      <c r="AC201" s="1141"/>
      <c r="AD201" s="1141"/>
      <c r="AE201" s="1135"/>
      <c r="AF201" s="1141"/>
      <c r="AG201" s="1135"/>
      <c r="AH201" s="1141"/>
      <c r="AI201" s="1141"/>
      <c r="AJ201" s="1142"/>
      <c r="AK201" s="1137">
        <f t="shared" si="12"/>
        <v>0</v>
      </c>
      <c r="AL201" s="1137">
        <f t="shared" si="12"/>
        <v>0</v>
      </c>
    </row>
    <row r="202" spans="1:38" hidden="1" outlineLevel="2" x14ac:dyDescent="0.3">
      <c r="A202" s="1130"/>
      <c r="B202" s="1138"/>
      <c r="C202" s="1139"/>
      <c r="D202" s="1140"/>
      <c r="E202" s="1134"/>
      <c r="F202" s="1141"/>
      <c r="G202" s="1141"/>
      <c r="H202" s="1141"/>
      <c r="I202" s="1141"/>
      <c r="J202" s="1141"/>
      <c r="K202" s="1135"/>
      <c r="L202" s="1141"/>
      <c r="M202" s="1141"/>
      <c r="N202" s="1141"/>
      <c r="O202" s="1141"/>
      <c r="P202" s="1141"/>
      <c r="Q202" s="1141"/>
      <c r="R202" s="1141"/>
      <c r="S202" s="1141"/>
      <c r="T202" s="1141"/>
      <c r="U202" s="1135"/>
      <c r="V202" s="1141"/>
      <c r="W202" s="1141"/>
      <c r="X202" s="1141"/>
      <c r="Y202" s="1141"/>
      <c r="Z202" s="1141"/>
      <c r="AA202" s="1141"/>
      <c r="AB202" s="1141"/>
      <c r="AC202" s="1141"/>
      <c r="AD202" s="1141"/>
      <c r="AE202" s="1135"/>
      <c r="AF202" s="1141"/>
      <c r="AG202" s="1135"/>
      <c r="AH202" s="1141"/>
      <c r="AI202" s="1141"/>
      <c r="AJ202" s="1142"/>
      <c r="AK202" s="1137">
        <f t="shared" si="12"/>
        <v>0</v>
      </c>
      <c r="AL202" s="1137">
        <f t="shared" si="12"/>
        <v>0</v>
      </c>
    </row>
    <row r="203" spans="1:38" hidden="1" outlineLevel="2" x14ac:dyDescent="0.3">
      <c r="A203" s="1130"/>
      <c r="B203" s="1138"/>
      <c r="C203" s="1139"/>
      <c r="D203" s="1140"/>
      <c r="E203" s="1134"/>
      <c r="F203" s="1141"/>
      <c r="G203" s="1141"/>
      <c r="H203" s="1141"/>
      <c r="I203" s="1141"/>
      <c r="J203" s="1141"/>
      <c r="K203" s="1135"/>
      <c r="L203" s="1141"/>
      <c r="M203" s="1141"/>
      <c r="N203" s="1141"/>
      <c r="O203" s="1141"/>
      <c r="P203" s="1141"/>
      <c r="Q203" s="1141"/>
      <c r="R203" s="1141"/>
      <c r="S203" s="1141"/>
      <c r="T203" s="1141"/>
      <c r="U203" s="1135"/>
      <c r="V203" s="1141"/>
      <c r="W203" s="1141"/>
      <c r="X203" s="1141"/>
      <c r="Y203" s="1141"/>
      <c r="Z203" s="1141"/>
      <c r="AA203" s="1141"/>
      <c r="AB203" s="1141"/>
      <c r="AC203" s="1141"/>
      <c r="AD203" s="1141"/>
      <c r="AE203" s="1135"/>
      <c r="AF203" s="1141"/>
      <c r="AG203" s="1135"/>
      <c r="AH203" s="1141"/>
      <c r="AI203" s="1141"/>
      <c r="AJ203" s="1142"/>
      <c r="AK203" s="1137">
        <f t="shared" si="12"/>
        <v>0</v>
      </c>
      <c r="AL203" s="1137">
        <f t="shared" si="12"/>
        <v>0</v>
      </c>
    </row>
    <row r="204" spans="1:38" hidden="1" outlineLevel="2" x14ac:dyDescent="0.3">
      <c r="A204" s="1130"/>
      <c r="B204" s="1138"/>
      <c r="C204" s="1139"/>
      <c r="D204" s="1140"/>
      <c r="E204" s="1134"/>
      <c r="F204" s="1141"/>
      <c r="G204" s="1141"/>
      <c r="H204" s="1141"/>
      <c r="I204" s="1141"/>
      <c r="J204" s="1141"/>
      <c r="K204" s="1135"/>
      <c r="L204" s="1141"/>
      <c r="M204" s="1141"/>
      <c r="N204" s="1141"/>
      <c r="O204" s="1141"/>
      <c r="P204" s="1141"/>
      <c r="Q204" s="1141"/>
      <c r="R204" s="1141"/>
      <c r="S204" s="1141"/>
      <c r="T204" s="1141"/>
      <c r="U204" s="1135"/>
      <c r="V204" s="1141"/>
      <c r="W204" s="1141"/>
      <c r="X204" s="1141"/>
      <c r="Y204" s="1141"/>
      <c r="Z204" s="1141"/>
      <c r="AA204" s="1141"/>
      <c r="AB204" s="1141"/>
      <c r="AC204" s="1141"/>
      <c r="AD204" s="1141"/>
      <c r="AE204" s="1135"/>
      <c r="AF204" s="1141"/>
      <c r="AG204" s="1135"/>
      <c r="AH204" s="1141"/>
      <c r="AI204" s="1141"/>
      <c r="AJ204" s="1142"/>
      <c r="AK204" s="1137">
        <f t="shared" si="12"/>
        <v>0</v>
      </c>
      <c r="AL204" s="1137">
        <f t="shared" si="12"/>
        <v>0</v>
      </c>
    </row>
    <row r="205" spans="1:38" hidden="1" outlineLevel="2" x14ac:dyDescent="0.3">
      <c r="A205" s="1130"/>
      <c r="B205" s="1138"/>
      <c r="C205" s="1139"/>
      <c r="D205" s="1140"/>
      <c r="E205" s="1134"/>
      <c r="F205" s="1141"/>
      <c r="G205" s="1141"/>
      <c r="H205" s="1141"/>
      <c r="I205" s="1141"/>
      <c r="J205" s="1141"/>
      <c r="K205" s="1135"/>
      <c r="L205" s="1141"/>
      <c r="M205" s="1141"/>
      <c r="N205" s="1141"/>
      <c r="O205" s="1141"/>
      <c r="P205" s="1141"/>
      <c r="Q205" s="1141"/>
      <c r="R205" s="1141"/>
      <c r="S205" s="1141"/>
      <c r="T205" s="1141"/>
      <c r="U205" s="1135"/>
      <c r="V205" s="1141"/>
      <c r="W205" s="1141"/>
      <c r="X205" s="1141"/>
      <c r="Y205" s="1141"/>
      <c r="Z205" s="1141"/>
      <c r="AA205" s="1141"/>
      <c r="AB205" s="1141"/>
      <c r="AC205" s="1141"/>
      <c r="AD205" s="1141"/>
      <c r="AE205" s="1135"/>
      <c r="AF205" s="1141"/>
      <c r="AG205" s="1135"/>
      <c r="AH205" s="1141"/>
      <c r="AI205" s="1141"/>
      <c r="AJ205" s="1142"/>
      <c r="AK205" s="1137">
        <f t="shared" si="12"/>
        <v>0</v>
      </c>
      <c r="AL205" s="1137">
        <f t="shared" si="12"/>
        <v>0</v>
      </c>
    </row>
    <row r="206" spans="1:38" hidden="1" outlineLevel="2" x14ac:dyDescent="0.3">
      <c r="A206" s="1130"/>
      <c r="B206" s="1138"/>
      <c r="C206" s="1139"/>
      <c r="D206" s="1140"/>
      <c r="E206" s="1134"/>
      <c r="F206" s="1141"/>
      <c r="G206" s="1141"/>
      <c r="H206" s="1141"/>
      <c r="I206" s="1141"/>
      <c r="J206" s="1141"/>
      <c r="K206" s="1135"/>
      <c r="L206" s="1141"/>
      <c r="M206" s="1141"/>
      <c r="N206" s="1141"/>
      <c r="O206" s="1141"/>
      <c r="P206" s="1141"/>
      <c r="Q206" s="1141"/>
      <c r="R206" s="1141"/>
      <c r="S206" s="1141"/>
      <c r="T206" s="1141"/>
      <c r="U206" s="1135"/>
      <c r="V206" s="1141"/>
      <c r="W206" s="1141"/>
      <c r="X206" s="1141"/>
      <c r="Y206" s="1141"/>
      <c r="Z206" s="1141"/>
      <c r="AA206" s="1141"/>
      <c r="AB206" s="1141"/>
      <c r="AC206" s="1141"/>
      <c r="AD206" s="1141"/>
      <c r="AE206" s="1135"/>
      <c r="AF206" s="1141"/>
      <c r="AG206" s="1135"/>
      <c r="AH206" s="1141"/>
      <c r="AI206" s="1141"/>
      <c r="AJ206" s="1142"/>
      <c r="AK206" s="1137">
        <f t="shared" si="12"/>
        <v>0</v>
      </c>
      <c r="AL206" s="1137">
        <f t="shared" si="12"/>
        <v>0</v>
      </c>
    </row>
    <row r="207" spans="1:38" hidden="1" outlineLevel="2" x14ac:dyDescent="0.3">
      <c r="A207" s="1130"/>
      <c r="B207" s="1138"/>
      <c r="C207" s="1139"/>
      <c r="D207" s="1140"/>
      <c r="E207" s="1134"/>
      <c r="F207" s="1141"/>
      <c r="G207" s="1141"/>
      <c r="H207" s="1141"/>
      <c r="I207" s="1141"/>
      <c r="J207" s="1141"/>
      <c r="K207" s="1135"/>
      <c r="L207" s="1141"/>
      <c r="M207" s="1141"/>
      <c r="N207" s="1141"/>
      <c r="O207" s="1141"/>
      <c r="P207" s="1141"/>
      <c r="Q207" s="1141"/>
      <c r="R207" s="1141"/>
      <c r="S207" s="1141"/>
      <c r="T207" s="1141"/>
      <c r="U207" s="1135"/>
      <c r="V207" s="1141"/>
      <c r="W207" s="1141"/>
      <c r="X207" s="1141"/>
      <c r="Y207" s="1141"/>
      <c r="Z207" s="1141"/>
      <c r="AA207" s="1141"/>
      <c r="AB207" s="1141"/>
      <c r="AC207" s="1141"/>
      <c r="AD207" s="1141"/>
      <c r="AE207" s="1135"/>
      <c r="AF207" s="1141"/>
      <c r="AG207" s="1135"/>
      <c r="AH207" s="1141"/>
      <c r="AI207" s="1141"/>
      <c r="AJ207" s="1142"/>
      <c r="AK207" s="1137">
        <f t="shared" si="12"/>
        <v>0</v>
      </c>
      <c r="AL207" s="1137">
        <f t="shared" si="12"/>
        <v>0</v>
      </c>
    </row>
    <row r="208" spans="1:38" hidden="1" outlineLevel="2" x14ac:dyDescent="0.3">
      <c r="A208" s="1130"/>
      <c r="B208" s="1138"/>
      <c r="C208" s="1139"/>
      <c r="D208" s="1140"/>
      <c r="E208" s="1134"/>
      <c r="F208" s="1141"/>
      <c r="G208" s="1141"/>
      <c r="H208" s="1141"/>
      <c r="I208" s="1141"/>
      <c r="J208" s="1141"/>
      <c r="K208" s="1135"/>
      <c r="L208" s="1141"/>
      <c r="M208" s="1141"/>
      <c r="N208" s="1141"/>
      <c r="O208" s="1141"/>
      <c r="P208" s="1141"/>
      <c r="Q208" s="1141"/>
      <c r="R208" s="1141"/>
      <c r="S208" s="1141"/>
      <c r="T208" s="1141"/>
      <c r="U208" s="1135"/>
      <c r="V208" s="1141"/>
      <c r="W208" s="1141"/>
      <c r="X208" s="1141"/>
      <c r="Y208" s="1141"/>
      <c r="Z208" s="1141"/>
      <c r="AA208" s="1141"/>
      <c r="AB208" s="1141"/>
      <c r="AC208" s="1141"/>
      <c r="AD208" s="1141"/>
      <c r="AE208" s="1135"/>
      <c r="AF208" s="1141"/>
      <c r="AG208" s="1135"/>
      <c r="AH208" s="1141"/>
      <c r="AI208" s="1141"/>
      <c r="AJ208" s="1142"/>
      <c r="AK208" s="1137">
        <f t="shared" si="12"/>
        <v>0</v>
      </c>
      <c r="AL208" s="1137">
        <f t="shared" si="12"/>
        <v>0</v>
      </c>
    </row>
    <row r="209" spans="1:38" hidden="1" outlineLevel="2" x14ac:dyDescent="0.3">
      <c r="A209" s="1130"/>
      <c r="B209" s="1138"/>
      <c r="C209" s="1139"/>
      <c r="D209" s="1140"/>
      <c r="E209" s="1134"/>
      <c r="F209" s="1141"/>
      <c r="G209" s="1141"/>
      <c r="H209" s="1141"/>
      <c r="I209" s="1141"/>
      <c r="J209" s="1141"/>
      <c r="K209" s="1135"/>
      <c r="L209" s="1141"/>
      <c r="M209" s="1141"/>
      <c r="N209" s="1141"/>
      <c r="O209" s="1141"/>
      <c r="P209" s="1141"/>
      <c r="Q209" s="1141"/>
      <c r="R209" s="1141"/>
      <c r="S209" s="1141"/>
      <c r="T209" s="1141"/>
      <c r="U209" s="1135"/>
      <c r="V209" s="1141"/>
      <c r="W209" s="1141"/>
      <c r="X209" s="1141"/>
      <c r="Y209" s="1141"/>
      <c r="Z209" s="1141"/>
      <c r="AA209" s="1141"/>
      <c r="AB209" s="1141"/>
      <c r="AC209" s="1141"/>
      <c r="AD209" s="1141"/>
      <c r="AE209" s="1135"/>
      <c r="AF209" s="1141"/>
      <c r="AG209" s="1135"/>
      <c r="AH209" s="1141"/>
      <c r="AI209" s="1141"/>
      <c r="AJ209" s="1142"/>
      <c r="AK209" s="1137">
        <f t="shared" si="12"/>
        <v>0</v>
      </c>
      <c r="AL209" s="1137">
        <f t="shared" si="12"/>
        <v>0</v>
      </c>
    </row>
    <row r="210" spans="1:38" hidden="1" outlineLevel="2" x14ac:dyDescent="0.3">
      <c r="A210" s="1130"/>
      <c r="B210" s="1138"/>
      <c r="C210" s="1139"/>
      <c r="D210" s="1140"/>
      <c r="E210" s="1134"/>
      <c r="F210" s="1141"/>
      <c r="G210" s="1141"/>
      <c r="H210" s="1141"/>
      <c r="I210" s="1141"/>
      <c r="J210" s="1141"/>
      <c r="K210" s="1135"/>
      <c r="L210" s="1141"/>
      <c r="M210" s="1141"/>
      <c r="N210" s="1141"/>
      <c r="O210" s="1141"/>
      <c r="P210" s="1141"/>
      <c r="Q210" s="1141"/>
      <c r="R210" s="1141"/>
      <c r="S210" s="1141"/>
      <c r="T210" s="1141"/>
      <c r="U210" s="1135"/>
      <c r="V210" s="1141"/>
      <c r="W210" s="1141"/>
      <c r="X210" s="1141"/>
      <c r="Y210" s="1141"/>
      <c r="Z210" s="1141"/>
      <c r="AA210" s="1141"/>
      <c r="AB210" s="1141"/>
      <c r="AC210" s="1141"/>
      <c r="AD210" s="1141"/>
      <c r="AE210" s="1135"/>
      <c r="AF210" s="1141"/>
      <c r="AG210" s="1135"/>
      <c r="AH210" s="1141"/>
      <c r="AI210" s="1141"/>
      <c r="AJ210" s="1142"/>
      <c r="AK210" s="1137">
        <f t="shared" si="12"/>
        <v>0</v>
      </c>
      <c r="AL210" s="1137">
        <f t="shared" si="12"/>
        <v>0</v>
      </c>
    </row>
    <row r="211" spans="1:38" hidden="1" outlineLevel="2" x14ac:dyDescent="0.3">
      <c r="A211" s="1130"/>
      <c r="B211" s="1138"/>
      <c r="C211" s="1139"/>
      <c r="D211" s="1140"/>
      <c r="E211" s="1134"/>
      <c r="F211" s="1141"/>
      <c r="G211" s="1141"/>
      <c r="H211" s="1141"/>
      <c r="I211" s="1141"/>
      <c r="J211" s="1141"/>
      <c r="K211" s="1135"/>
      <c r="L211" s="1141"/>
      <c r="M211" s="1141"/>
      <c r="N211" s="1141"/>
      <c r="O211" s="1141"/>
      <c r="P211" s="1141"/>
      <c r="Q211" s="1141"/>
      <c r="R211" s="1141"/>
      <c r="S211" s="1141"/>
      <c r="T211" s="1141"/>
      <c r="U211" s="1135"/>
      <c r="V211" s="1141"/>
      <c r="W211" s="1141"/>
      <c r="X211" s="1141"/>
      <c r="Y211" s="1141"/>
      <c r="Z211" s="1141"/>
      <c r="AA211" s="1141"/>
      <c r="AB211" s="1141"/>
      <c r="AC211" s="1141"/>
      <c r="AD211" s="1141"/>
      <c r="AE211" s="1135"/>
      <c r="AF211" s="1141"/>
      <c r="AG211" s="1135"/>
      <c r="AH211" s="1141"/>
      <c r="AI211" s="1141"/>
      <c r="AJ211" s="1142"/>
      <c r="AK211" s="1137">
        <f t="shared" si="12"/>
        <v>0</v>
      </c>
      <c r="AL211" s="1137">
        <f t="shared" si="12"/>
        <v>0</v>
      </c>
    </row>
    <row r="212" spans="1:38" hidden="1" outlineLevel="2" x14ac:dyDescent="0.3">
      <c r="A212" s="1130"/>
      <c r="B212" s="1138"/>
      <c r="C212" s="1139"/>
      <c r="D212" s="1140"/>
      <c r="E212" s="1134"/>
      <c r="F212" s="1141"/>
      <c r="G212" s="1141"/>
      <c r="H212" s="1141"/>
      <c r="I212" s="1141"/>
      <c r="J212" s="1141"/>
      <c r="K212" s="1135"/>
      <c r="L212" s="1141"/>
      <c r="M212" s="1141"/>
      <c r="N212" s="1141"/>
      <c r="O212" s="1141"/>
      <c r="P212" s="1141"/>
      <c r="Q212" s="1141"/>
      <c r="R212" s="1141"/>
      <c r="S212" s="1141"/>
      <c r="T212" s="1141"/>
      <c r="U212" s="1135"/>
      <c r="V212" s="1141"/>
      <c r="W212" s="1141"/>
      <c r="X212" s="1141"/>
      <c r="Y212" s="1141"/>
      <c r="Z212" s="1141"/>
      <c r="AA212" s="1141"/>
      <c r="AB212" s="1141"/>
      <c r="AC212" s="1141"/>
      <c r="AD212" s="1141"/>
      <c r="AE212" s="1135"/>
      <c r="AF212" s="1141"/>
      <c r="AG212" s="1135"/>
      <c r="AH212" s="1141"/>
      <c r="AI212" s="1141"/>
      <c r="AJ212" s="1142"/>
      <c r="AK212" s="1137">
        <f t="shared" si="12"/>
        <v>0</v>
      </c>
      <c r="AL212" s="1137">
        <f t="shared" si="12"/>
        <v>0</v>
      </c>
    </row>
    <row r="213" spans="1:38" hidden="1" outlineLevel="2" x14ac:dyDescent="0.3">
      <c r="A213" s="1130"/>
      <c r="B213" s="1138"/>
      <c r="C213" s="1139"/>
      <c r="D213" s="1140"/>
      <c r="E213" s="1134"/>
      <c r="F213" s="1141"/>
      <c r="G213" s="1141"/>
      <c r="H213" s="1141"/>
      <c r="I213" s="1141"/>
      <c r="J213" s="1141"/>
      <c r="K213" s="1135"/>
      <c r="L213" s="1141"/>
      <c r="M213" s="1141"/>
      <c r="N213" s="1141"/>
      <c r="O213" s="1141"/>
      <c r="P213" s="1141"/>
      <c r="Q213" s="1141"/>
      <c r="R213" s="1141"/>
      <c r="S213" s="1141"/>
      <c r="T213" s="1141"/>
      <c r="U213" s="1135"/>
      <c r="V213" s="1141"/>
      <c r="W213" s="1141"/>
      <c r="X213" s="1141"/>
      <c r="Y213" s="1141"/>
      <c r="Z213" s="1141"/>
      <c r="AA213" s="1141"/>
      <c r="AB213" s="1141"/>
      <c r="AC213" s="1141"/>
      <c r="AD213" s="1141"/>
      <c r="AE213" s="1135"/>
      <c r="AF213" s="1141"/>
      <c r="AG213" s="1135"/>
      <c r="AH213" s="1141"/>
      <c r="AI213" s="1141"/>
      <c r="AJ213" s="1142"/>
      <c r="AK213" s="1137">
        <f t="shared" si="12"/>
        <v>0</v>
      </c>
      <c r="AL213" s="1137">
        <f t="shared" si="12"/>
        <v>0</v>
      </c>
    </row>
    <row r="214" spans="1:38" hidden="1" outlineLevel="2" x14ac:dyDescent="0.3">
      <c r="A214" s="1130"/>
      <c r="B214" s="1138"/>
      <c r="C214" s="1139"/>
      <c r="D214" s="1140"/>
      <c r="E214" s="1134"/>
      <c r="F214" s="1141"/>
      <c r="G214" s="1141"/>
      <c r="H214" s="1141"/>
      <c r="I214" s="1141"/>
      <c r="J214" s="1141"/>
      <c r="K214" s="1135"/>
      <c r="L214" s="1141"/>
      <c r="M214" s="1141"/>
      <c r="N214" s="1141"/>
      <c r="O214" s="1141"/>
      <c r="P214" s="1141"/>
      <c r="Q214" s="1141"/>
      <c r="R214" s="1141"/>
      <c r="S214" s="1141"/>
      <c r="T214" s="1141"/>
      <c r="U214" s="1135"/>
      <c r="V214" s="1141"/>
      <c r="W214" s="1141"/>
      <c r="X214" s="1141"/>
      <c r="Y214" s="1141"/>
      <c r="Z214" s="1141"/>
      <c r="AA214" s="1141"/>
      <c r="AB214" s="1141"/>
      <c r="AC214" s="1141"/>
      <c r="AD214" s="1141"/>
      <c r="AE214" s="1135"/>
      <c r="AF214" s="1141"/>
      <c r="AG214" s="1135"/>
      <c r="AH214" s="1141"/>
      <c r="AI214" s="1141"/>
      <c r="AJ214" s="1142"/>
      <c r="AK214" s="1137">
        <f t="shared" si="12"/>
        <v>0</v>
      </c>
      <c r="AL214" s="1137">
        <f t="shared" si="12"/>
        <v>0</v>
      </c>
    </row>
    <row r="215" spans="1:38" hidden="1" outlineLevel="2" x14ac:dyDescent="0.3">
      <c r="A215" s="1130"/>
      <c r="B215" s="1138"/>
      <c r="C215" s="1139"/>
      <c r="D215" s="1140"/>
      <c r="E215" s="1134"/>
      <c r="F215" s="1141"/>
      <c r="G215" s="1141"/>
      <c r="H215" s="1141"/>
      <c r="I215" s="1141"/>
      <c r="J215" s="1141"/>
      <c r="K215" s="1135"/>
      <c r="L215" s="1141"/>
      <c r="M215" s="1141"/>
      <c r="N215" s="1141"/>
      <c r="O215" s="1141"/>
      <c r="P215" s="1141"/>
      <c r="Q215" s="1141"/>
      <c r="R215" s="1141"/>
      <c r="S215" s="1141"/>
      <c r="T215" s="1141"/>
      <c r="U215" s="1135"/>
      <c r="V215" s="1141"/>
      <c r="W215" s="1141"/>
      <c r="X215" s="1141"/>
      <c r="Y215" s="1141"/>
      <c r="Z215" s="1141"/>
      <c r="AA215" s="1141"/>
      <c r="AB215" s="1141"/>
      <c r="AC215" s="1141"/>
      <c r="AD215" s="1141"/>
      <c r="AE215" s="1135"/>
      <c r="AF215" s="1141"/>
      <c r="AG215" s="1135"/>
      <c r="AH215" s="1141"/>
      <c r="AI215" s="1141"/>
      <c r="AJ215" s="1142"/>
      <c r="AK215" s="1137">
        <f t="shared" si="12"/>
        <v>0</v>
      </c>
      <c r="AL215" s="1137">
        <f t="shared" si="12"/>
        <v>0</v>
      </c>
    </row>
    <row r="216" spans="1:38" hidden="1" outlineLevel="2" x14ac:dyDescent="0.3">
      <c r="A216" s="1130"/>
      <c r="B216" s="1138"/>
      <c r="C216" s="1139"/>
      <c r="D216" s="1140"/>
      <c r="E216" s="1134"/>
      <c r="F216" s="1141"/>
      <c r="G216" s="1141"/>
      <c r="H216" s="1141"/>
      <c r="I216" s="1141"/>
      <c r="J216" s="1141"/>
      <c r="K216" s="1135"/>
      <c r="L216" s="1141"/>
      <c r="M216" s="1141"/>
      <c r="N216" s="1141"/>
      <c r="O216" s="1141"/>
      <c r="P216" s="1141"/>
      <c r="Q216" s="1141"/>
      <c r="R216" s="1141"/>
      <c r="S216" s="1141"/>
      <c r="T216" s="1141"/>
      <c r="U216" s="1135"/>
      <c r="V216" s="1141"/>
      <c r="W216" s="1141"/>
      <c r="X216" s="1141"/>
      <c r="Y216" s="1141"/>
      <c r="Z216" s="1141"/>
      <c r="AA216" s="1141"/>
      <c r="AB216" s="1141"/>
      <c r="AC216" s="1141"/>
      <c r="AD216" s="1141"/>
      <c r="AE216" s="1135"/>
      <c r="AF216" s="1141"/>
      <c r="AG216" s="1135"/>
      <c r="AH216" s="1141"/>
      <c r="AI216" s="1141"/>
      <c r="AJ216" s="1142"/>
      <c r="AK216" s="1137">
        <f t="shared" si="12"/>
        <v>0</v>
      </c>
      <c r="AL216" s="1137">
        <f t="shared" si="12"/>
        <v>0</v>
      </c>
    </row>
    <row r="217" spans="1:38" hidden="1" outlineLevel="2" x14ac:dyDescent="0.3">
      <c r="A217" s="1130"/>
      <c r="B217" s="1138"/>
      <c r="C217" s="1139"/>
      <c r="D217" s="1140"/>
      <c r="E217" s="1134"/>
      <c r="F217" s="1141"/>
      <c r="G217" s="1141"/>
      <c r="H217" s="1141"/>
      <c r="I217" s="1141"/>
      <c r="J217" s="1141"/>
      <c r="K217" s="1135"/>
      <c r="L217" s="1141"/>
      <c r="M217" s="1141"/>
      <c r="N217" s="1141"/>
      <c r="O217" s="1141"/>
      <c r="P217" s="1141"/>
      <c r="Q217" s="1141"/>
      <c r="R217" s="1141"/>
      <c r="S217" s="1141"/>
      <c r="T217" s="1141"/>
      <c r="U217" s="1135"/>
      <c r="V217" s="1141"/>
      <c r="W217" s="1141"/>
      <c r="X217" s="1141"/>
      <c r="Y217" s="1141"/>
      <c r="Z217" s="1141"/>
      <c r="AA217" s="1141"/>
      <c r="AB217" s="1141"/>
      <c r="AC217" s="1141"/>
      <c r="AD217" s="1141"/>
      <c r="AE217" s="1135"/>
      <c r="AF217" s="1141"/>
      <c r="AG217" s="1135"/>
      <c r="AH217" s="1141"/>
      <c r="AI217" s="1141"/>
      <c r="AJ217" s="1142"/>
      <c r="AK217" s="1137">
        <f t="shared" si="12"/>
        <v>0</v>
      </c>
      <c r="AL217" s="1137">
        <f t="shared" si="12"/>
        <v>0</v>
      </c>
    </row>
    <row r="218" spans="1:38" hidden="1" outlineLevel="2" x14ac:dyDescent="0.3">
      <c r="A218" s="1130"/>
      <c r="B218" s="1138"/>
      <c r="C218" s="1139"/>
      <c r="D218" s="1140"/>
      <c r="E218" s="1134"/>
      <c r="F218" s="1141"/>
      <c r="G218" s="1141"/>
      <c r="H218" s="1141"/>
      <c r="I218" s="1141"/>
      <c r="J218" s="1141"/>
      <c r="K218" s="1135"/>
      <c r="L218" s="1141"/>
      <c r="M218" s="1141"/>
      <c r="N218" s="1141"/>
      <c r="O218" s="1141"/>
      <c r="P218" s="1141"/>
      <c r="Q218" s="1141"/>
      <c r="R218" s="1141"/>
      <c r="S218" s="1141"/>
      <c r="T218" s="1141"/>
      <c r="U218" s="1135"/>
      <c r="V218" s="1141"/>
      <c r="W218" s="1141"/>
      <c r="X218" s="1141"/>
      <c r="Y218" s="1141"/>
      <c r="Z218" s="1141"/>
      <c r="AA218" s="1141"/>
      <c r="AB218" s="1141"/>
      <c r="AC218" s="1141"/>
      <c r="AD218" s="1141"/>
      <c r="AE218" s="1135"/>
      <c r="AF218" s="1141"/>
      <c r="AG218" s="1135"/>
      <c r="AH218" s="1141"/>
      <c r="AI218" s="1141"/>
      <c r="AJ218" s="1142"/>
      <c r="AK218" s="1137">
        <f t="shared" si="12"/>
        <v>0</v>
      </c>
      <c r="AL218" s="1137">
        <f t="shared" si="12"/>
        <v>0</v>
      </c>
    </row>
    <row r="219" spans="1:38" hidden="1" outlineLevel="2" x14ac:dyDescent="0.3">
      <c r="A219" s="1130"/>
      <c r="B219" s="1138"/>
      <c r="C219" s="1139"/>
      <c r="D219" s="1140"/>
      <c r="E219" s="1134"/>
      <c r="F219" s="1141"/>
      <c r="G219" s="1141"/>
      <c r="H219" s="1141"/>
      <c r="I219" s="1141"/>
      <c r="J219" s="1141"/>
      <c r="K219" s="1135"/>
      <c r="L219" s="1141"/>
      <c r="M219" s="1141"/>
      <c r="N219" s="1141"/>
      <c r="O219" s="1141"/>
      <c r="P219" s="1141"/>
      <c r="Q219" s="1141"/>
      <c r="R219" s="1141"/>
      <c r="S219" s="1141"/>
      <c r="T219" s="1141"/>
      <c r="U219" s="1135"/>
      <c r="V219" s="1141"/>
      <c r="W219" s="1141"/>
      <c r="X219" s="1141"/>
      <c r="Y219" s="1141"/>
      <c r="Z219" s="1141"/>
      <c r="AA219" s="1141"/>
      <c r="AB219" s="1141"/>
      <c r="AC219" s="1141"/>
      <c r="AD219" s="1141"/>
      <c r="AE219" s="1135"/>
      <c r="AF219" s="1141"/>
      <c r="AG219" s="1135"/>
      <c r="AH219" s="1141"/>
      <c r="AI219" s="1141"/>
      <c r="AJ219" s="1142"/>
      <c r="AK219" s="1137">
        <f t="shared" si="12"/>
        <v>0</v>
      </c>
      <c r="AL219" s="1137">
        <f t="shared" si="12"/>
        <v>0</v>
      </c>
    </row>
    <row r="220" spans="1:38" hidden="1" outlineLevel="2" x14ac:dyDescent="0.3">
      <c r="A220" s="1130"/>
      <c r="B220" s="1138"/>
      <c r="C220" s="1139"/>
      <c r="D220" s="1140"/>
      <c r="E220" s="1134"/>
      <c r="F220" s="1141"/>
      <c r="G220" s="1141"/>
      <c r="H220" s="1141"/>
      <c r="I220" s="1141"/>
      <c r="J220" s="1141"/>
      <c r="K220" s="1135"/>
      <c r="L220" s="1141"/>
      <c r="M220" s="1141"/>
      <c r="N220" s="1141"/>
      <c r="O220" s="1141"/>
      <c r="P220" s="1141"/>
      <c r="Q220" s="1141"/>
      <c r="R220" s="1141"/>
      <c r="S220" s="1141"/>
      <c r="T220" s="1141"/>
      <c r="U220" s="1135"/>
      <c r="V220" s="1141"/>
      <c r="W220" s="1141"/>
      <c r="X220" s="1141"/>
      <c r="Y220" s="1141"/>
      <c r="Z220" s="1141"/>
      <c r="AA220" s="1141"/>
      <c r="AB220" s="1141"/>
      <c r="AC220" s="1141"/>
      <c r="AD220" s="1141"/>
      <c r="AE220" s="1135"/>
      <c r="AF220" s="1141"/>
      <c r="AG220" s="1135"/>
      <c r="AH220" s="1141"/>
      <c r="AI220" s="1141"/>
      <c r="AJ220" s="1142"/>
      <c r="AK220" s="1137">
        <f t="shared" si="12"/>
        <v>0</v>
      </c>
      <c r="AL220" s="1137">
        <f t="shared" si="12"/>
        <v>0</v>
      </c>
    </row>
    <row r="221" spans="1:38" hidden="1" outlineLevel="2" x14ac:dyDescent="0.3">
      <c r="A221" s="1130"/>
      <c r="B221" s="1138"/>
      <c r="C221" s="1139"/>
      <c r="D221" s="1140"/>
      <c r="E221" s="1134"/>
      <c r="F221" s="1141"/>
      <c r="G221" s="1141"/>
      <c r="H221" s="1141"/>
      <c r="I221" s="1141"/>
      <c r="J221" s="1141"/>
      <c r="K221" s="1135"/>
      <c r="L221" s="1141"/>
      <c r="M221" s="1141"/>
      <c r="N221" s="1141"/>
      <c r="O221" s="1141"/>
      <c r="P221" s="1141"/>
      <c r="Q221" s="1141"/>
      <c r="R221" s="1141"/>
      <c r="S221" s="1141"/>
      <c r="T221" s="1141"/>
      <c r="U221" s="1135"/>
      <c r="V221" s="1141"/>
      <c r="W221" s="1141"/>
      <c r="X221" s="1141"/>
      <c r="Y221" s="1141"/>
      <c r="Z221" s="1141"/>
      <c r="AA221" s="1141"/>
      <c r="AB221" s="1141"/>
      <c r="AC221" s="1141"/>
      <c r="AD221" s="1141"/>
      <c r="AE221" s="1135"/>
      <c r="AF221" s="1141"/>
      <c r="AG221" s="1135"/>
      <c r="AH221" s="1141"/>
      <c r="AI221" s="1141"/>
      <c r="AJ221" s="1142"/>
      <c r="AK221" s="1137">
        <f t="shared" si="12"/>
        <v>0</v>
      </c>
      <c r="AL221" s="1137">
        <f t="shared" si="12"/>
        <v>0</v>
      </c>
    </row>
    <row r="222" spans="1:38" hidden="1" outlineLevel="2" x14ac:dyDescent="0.3">
      <c r="A222" s="1130"/>
      <c r="B222" s="1138"/>
      <c r="C222" s="1139"/>
      <c r="D222" s="1140"/>
      <c r="E222" s="1134"/>
      <c r="F222" s="1141"/>
      <c r="G222" s="1141"/>
      <c r="H222" s="1141"/>
      <c r="I222" s="1141"/>
      <c r="J222" s="1141"/>
      <c r="K222" s="1135"/>
      <c r="L222" s="1141"/>
      <c r="M222" s="1141"/>
      <c r="N222" s="1141"/>
      <c r="O222" s="1141"/>
      <c r="P222" s="1141"/>
      <c r="Q222" s="1141"/>
      <c r="R222" s="1141"/>
      <c r="S222" s="1141"/>
      <c r="T222" s="1141"/>
      <c r="U222" s="1135"/>
      <c r="V222" s="1141"/>
      <c r="W222" s="1141"/>
      <c r="X222" s="1141"/>
      <c r="Y222" s="1141"/>
      <c r="Z222" s="1141"/>
      <c r="AA222" s="1141"/>
      <c r="AB222" s="1141"/>
      <c r="AC222" s="1141"/>
      <c r="AD222" s="1141"/>
      <c r="AE222" s="1135"/>
      <c r="AF222" s="1141"/>
      <c r="AG222" s="1135"/>
      <c r="AH222" s="1141"/>
      <c r="AI222" s="1141"/>
      <c r="AJ222" s="1142"/>
      <c r="AK222" s="1137">
        <f t="shared" si="12"/>
        <v>0</v>
      </c>
      <c r="AL222" s="1137">
        <f t="shared" si="12"/>
        <v>0</v>
      </c>
    </row>
    <row r="223" spans="1:38" hidden="1" outlineLevel="2" x14ac:dyDescent="0.3">
      <c r="A223" s="1130"/>
      <c r="B223" s="1138"/>
      <c r="C223" s="1139"/>
      <c r="D223" s="1140"/>
      <c r="E223" s="1134"/>
      <c r="F223" s="1141"/>
      <c r="G223" s="1141"/>
      <c r="H223" s="1141"/>
      <c r="I223" s="1141"/>
      <c r="J223" s="1141"/>
      <c r="K223" s="1135"/>
      <c r="L223" s="1141"/>
      <c r="M223" s="1141"/>
      <c r="N223" s="1141"/>
      <c r="O223" s="1141"/>
      <c r="P223" s="1141"/>
      <c r="Q223" s="1141"/>
      <c r="R223" s="1141"/>
      <c r="S223" s="1141"/>
      <c r="T223" s="1141"/>
      <c r="U223" s="1135"/>
      <c r="V223" s="1141"/>
      <c r="W223" s="1141"/>
      <c r="X223" s="1141"/>
      <c r="Y223" s="1141"/>
      <c r="Z223" s="1141"/>
      <c r="AA223" s="1141"/>
      <c r="AB223" s="1141"/>
      <c r="AC223" s="1141"/>
      <c r="AD223" s="1141"/>
      <c r="AE223" s="1135"/>
      <c r="AF223" s="1141"/>
      <c r="AG223" s="1135"/>
      <c r="AH223" s="1141"/>
      <c r="AI223" s="1141"/>
      <c r="AJ223" s="1142"/>
      <c r="AK223" s="1137">
        <f t="shared" si="12"/>
        <v>0</v>
      </c>
      <c r="AL223" s="1137">
        <f t="shared" si="12"/>
        <v>0</v>
      </c>
    </row>
    <row r="224" spans="1:38" hidden="1" outlineLevel="2" x14ac:dyDescent="0.3">
      <c r="A224" s="1130"/>
      <c r="B224" s="1138"/>
      <c r="C224" s="1139"/>
      <c r="D224" s="1140"/>
      <c r="E224" s="1134"/>
      <c r="F224" s="1141"/>
      <c r="G224" s="1141"/>
      <c r="H224" s="1141"/>
      <c r="I224" s="1141"/>
      <c r="J224" s="1141"/>
      <c r="K224" s="1135"/>
      <c r="L224" s="1141"/>
      <c r="M224" s="1141"/>
      <c r="N224" s="1141"/>
      <c r="O224" s="1141"/>
      <c r="P224" s="1141"/>
      <c r="Q224" s="1141"/>
      <c r="R224" s="1141"/>
      <c r="S224" s="1141"/>
      <c r="T224" s="1141"/>
      <c r="U224" s="1135"/>
      <c r="V224" s="1141"/>
      <c r="W224" s="1141"/>
      <c r="X224" s="1141"/>
      <c r="Y224" s="1141"/>
      <c r="Z224" s="1141"/>
      <c r="AA224" s="1141"/>
      <c r="AB224" s="1141"/>
      <c r="AC224" s="1141"/>
      <c r="AD224" s="1141"/>
      <c r="AE224" s="1135"/>
      <c r="AF224" s="1141"/>
      <c r="AG224" s="1135"/>
      <c r="AH224" s="1141"/>
      <c r="AI224" s="1141"/>
      <c r="AJ224" s="1142"/>
      <c r="AK224" s="1137">
        <f t="shared" si="12"/>
        <v>0</v>
      </c>
      <c r="AL224" s="1137">
        <f t="shared" si="12"/>
        <v>0</v>
      </c>
    </row>
    <row r="225" spans="1:38" hidden="1" outlineLevel="2" x14ac:dyDescent="0.3">
      <c r="A225" s="1130"/>
      <c r="B225" s="1138"/>
      <c r="C225" s="1139"/>
      <c r="D225" s="1140"/>
      <c r="E225" s="1134"/>
      <c r="F225" s="1141"/>
      <c r="G225" s="1141"/>
      <c r="H225" s="1141"/>
      <c r="I225" s="1141"/>
      <c r="J225" s="1141"/>
      <c r="K225" s="1135"/>
      <c r="L225" s="1141"/>
      <c r="M225" s="1141"/>
      <c r="N225" s="1141"/>
      <c r="O225" s="1141"/>
      <c r="P225" s="1141"/>
      <c r="Q225" s="1141"/>
      <c r="R225" s="1141"/>
      <c r="S225" s="1141"/>
      <c r="T225" s="1141"/>
      <c r="U225" s="1135"/>
      <c r="V225" s="1141"/>
      <c r="W225" s="1141"/>
      <c r="X225" s="1141"/>
      <c r="Y225" s="1141"/>
      <c r="Z225" s="1141"/>
      <c r="AA225" s="1141"/>
      <c r="AB225" s="1141"/>
      <c r="AC225" s="1141"/>
      <c r="AD225" s="1141"/>
      <c r="AE225" s="1135"/>
      <c r="AF225" s="1141"/>
      <c r="AG225" s="1135"/>
      <c r="AH225" s="1141"/>
      <c r="AI225" s="1141"/>
      <c r="AJ225" s="1142"/>
      <c r="AK225" s="1137">
        <f t="shared" si="12"/>
        <v>0</v>
      </c>
      <c r="AL225" s="1137">
        <f t="shared" si="12"/>
        <v>0</v>
      </c>
    </row>
    <row r="226" spans="1:38" hidden="1" outlineLevel="2" x14ac:dyDescent="0.3">
      <c r="A226" s="1130"/>
      <c r="B226" s="1138"/>
      <c r="C226" s="1139"/>
      <c r="D226" s="1140"/>
      <c r="E226" s="1134"/>
      <c r="F226" s="1141"/>
      <c r="G226" s="1141"/>
      <c r="H226" s="1141"/>
      <c r="I226" s="1141"/>
      <c r="J226" s="1141"/>
      <c r="K226" s="1135"/>
      <c r="L226" s="1141"/>
      <c r="M226" s="1141"/>
      <c r="N226" s="1141"/>
      <c r="O226" s="1141"/>
      <c r="P226" s="1141"/>
      <c r="Q226" s="1141"/>
      <c r="R226" s="1141"/>
      <c r="S226" s="1141"/>
      <c r="T226" s="1141"/>
      <c r="U226" s="1135"/>
      <c r="V226" s="1141"/>
      <c r="W226" s="1141"/>
      <c r="X226" s="1141"/>
      <c r="Y226" s="1141"/>
      <c r="Z226" s="1141"/>
      <c r="AA226" s="1141"/>
      <c r="AB226" s="1141"/>
      <c r="AC226" s="1141"/>
      <c r="AD226" s="1141"/>
      <c r="AE226" s="1135"/>
      <c r="AF226" s="1141"/>
      <c r="AG226" s="1135"/>
      <c r="AH226" s="1141"/>
      <c r="AI226" s="1141"/>
      <c r="AJ226" s="1142"/>
      <c r="AK226" s="1137">
        <f t="shared" si="12"/>
        <v>0</v>
      </c>
      <c r="AL226" s="1137">
        <f t="shared" si="12"/>
        <v>0</v>
      </c>
    </row>
    <row r="227" spans="1:38" hidden="1" outlineLevel="2" x14ac:dyDescent="0.3">
      <c r="A227" s="1130"/>
      <c r="B227" s="1138"/>
      <c r="C227" s="1139"/>
      <c r="D227" s="1140"/>
      <c r="E227" s="1134"/>
      <c r="F227" s="1141"/>
      <c r="G227" s="1141"/>
      <c r="H227" s="1141"/>
      <c r="I227" s="1141"/>
      <c r="J227" s="1141"/>
      <c r="K227" s="1135"/>
      <c r="L227" s="1141"/>
      <c r="M227" s="1141"/>
      <c r="N227" s="1141"/>
      <c r="O227" s="1141"/>
      <c r="P227" s="1141"/>
      <c r="Q227" s="1141"/>
      <c r="R227" s="1141"/>
      <c r="S227" s="1141"/>
      <c r="T227" s="1141"/>
      <c r="U227" s="1135"/>
      <c r="V227" s="1141"/>
      <c r="W227" s="1141"/>
      <c r="X227" s="1141"/>
      <c r="Y227" s="1141"/>
      <c r="Z227" s="1141"/>
      <c r="AA227" s="1141"/>
      <c r="AB227" s="1141"/>
      <c r="AC227" s="1141"/>
      <c r="AD227" s="1141"/>
      <c r="AE227" s="1135"/>
      <c r="AF227" s="1141"/>
      <c r="AG227" s="1135"/>
      <c r="AH227" s="1141"/>
      <c r="AI227" s="1141"/>
      <c r="AJ227" s="1142"/>
      <c r="AK227" s="1137">
        <f t="shared" si="12"/>
        <v>0</v>
      </c>
      <c r="AL227" s="1137">
        <f t="shared" si="12"/>
        <v>0</v>
      </c>
    </row>
    <row r="228" spans="1:38" hidden="1" outlineLevel="2" x14ac:dyDescent="0.3">
      <c r="A228" s="1130"/>
      <c r="B228" s="1138"/>
      <c r="C228" s="1139"/>
      <c r="D228" s="1140"/>
      <c r="E228" s="1134"/>
      <c r="F228" s="1141"/>
      <c r="G228" s="1141"/>
      <c r="H228" s="1141"/>
      <c r="I228" s="1141"/>
      <c r="J228" s="1141"/>
      <c r="K228" s="1135"/>
      <c r="L228" s="1141"/>
      <c r="M228" s="1141"/>
      <c r="N228" s="1141"/>
      <c r="O228" s="1141"/>
      <c r="P228" s="1141"/>
      <c r="Q228" s="1141"/>
      <c r="R228" s="1141"/>
      <c r="S228" s="1141"/>
      <c r="T228" s="1141"/>
      <c r="U228" s="1135"/>
      <c r="V228" s="1141"/>
      <c r="W228" s="1141"/>
      <c r="X228" s="1141"/>
      <c r="Y228" s="1141"/>
      <c r="Z228" s="1141"/>
      <c r="AA228" s="1141"/>
      <c r="AB228" s="1141"/>
      <c r="AC228" s="1141"/>
      <c r="AD228" s="1141"/>
      <c r="AE228" s="1135"/>
      <c r="AF228" s="1141"/>
      <c r="AG228" s="1135"/>
      <c r="AH228" s="1141"/>
      <c r="AI228" s="1141"/>
      <c r="AJ228" s="1142"/>
      <c r="AK228" s="1137">
        <f t="shared" ref="AK228:AL246" si="13">SUM(E228,G228,I228)-SUM(K228,M228,O228,Q228,S228,U228,W228,Y228,AA228,AC228,AE228,AG228,AI228)</f>
        <v>0</v>
      </c>
      <c r="AL228" s="1137">
        <f t="shared" si="13"/>
        <v>0</v>
      </c>
    </row>
    <row r="229" spans="1:38" hidden="1" outlineLevel="2" x14ac:dyDescent="0.3">
      <c r="A229" s="1130"/>
      <c r="B229" s="1138"/>
      <c r="C229" s="1139"/>
      <c r="D229" s="1140"/>
      <c r="E229" s="1134"/>
      <c r="F229" s="1141"/>
      <c r="G229" s="1141"/>
      <c r="H229" s="1141"/>
      <c r="I229" s="1141"/>
      <c r="J229" s="1141"/>
      <c r="K229" s="1135"/>
      <c r="L229" s="1141"/>
      <c r="M229" s="1141"/>
      <c r="N229" s="1141"/>
      <c r="O229" s="1141"/>
      <c r="P229" s="1141"/>
      <c r="Q229" s="1141"/>
      <c r="R229" s="1141"/>
      <c r="S229" s="1141"/>
      <c r="T229" s="1141"/>
      <c r="U229" s="1135"/>
      <c r="V229" s="1141"/>
      <c r="W229" s="1141"/>
      <c r="X229" s="1141"/>
      <c r="Y229" s="1141"/>
      <c r="Z229" s="1141"/>
      <c r="AA229" s="1141"/>
      <c r="AB229" s="1141"/>
      <c r="AC229" s="1141"/>
      <c r="AD229" s="1141"/>
      <c r="AE229" s="1135"/>
      <c r="AF229" s="1141"/>
      <c r="AG229" s="1135"/>
      <c r="AH229" s="1141"/>
      <c r="AI229" s="1141"/>
      <c r="AJ229" s="1142"/>
      <c r="AK229" s="1137">
        <f t="shared" si="13"/>
        <v>0</v>
      </c>
      <c r="AL229" s="1137">
        <f t="shared" si="13"/>
        <v>0</v>
      </c>
    </row>
    <row r="230" spans="1:38" hidden="1" outlineLevel="2" x14ac:dyDescent="0.3">
      <c r="A230" s="1130"/>
      <c r="B230" s="1138"/>
      <c r="C230" s="1139"/>
      <c r="D230" s="1140"/>
      <c r="E230" s="1134"/>
      <c r="F230" s="1141"/>
      <c r="G230" s="1141"/>
      <c r="H230" s="1141"/>
      <c r="I230" s="1141"/>
      <c r="J230" s="1141"/>
      <c r="K230" s="1135"/>
      <c r="L230" s="1141"/>
      <c r="M230" s="1141"/>
      <c r="N230" s="1141"/>
      <c r="O230" s="1141"/>
      <c r="P230" s="1141"/>
      <c r="Q230" s="1141"/>
      <c r="R230" s="1141"/>
      <c r="S230" s="1141"/>
      <c r="T230" s="1141"/>
      <c r="U230" s="1135"/>
      <c r="V230" s="1141"/>
      <c r="W230" s="1141"/>
      <c r="X230" s="1141"/>
      <c r="Y230" s="1141"/>
      <c r="Z230" s="1141"/>
      <c r="AA230" s="1141"/>
      <c r="AB230" s="1141"/>
      <c r="AC230" s="1141"/>
      <c r="AD230" s="1141"/>
      <c r="AE230" s="1135"/>
      <c r="AF230" s="1141"/>
      <c r="AG230" s="1135"/>
      <c r="AH230" s="1141"/>
      <c r="AI230" s="1141"/>
      <c r="AJ230" s="1142"/>
      <c r="AK230" s="1137">
        <f t="shared" si="13"/>
        <v>0</v>
      </c>
      <c r="AL230" s="1137">
        <f t="shared" si="13"/>
        <v>0</v>
      </c>
    </row>
    <row r="231" spans="1:38" hidden="1" outlineLevel="2" x14ac:dyDescent="0.3">
      <c r="A231" s="1130"/>
      <c r="B231" s="1138"/>
      <c r="C231" s="1139"/>
      <c r="D231" s="1140"/>
      <c r="E231" s="1134"/>
      <c r="F231" s="1141"/>
      <c r="G231" s="1141"/>
      <c r="H231" s="1141"/>
      <c r="I231" s="1141"/>
      <c r="J231" s="1141"/>
      <c r="K231" s="1135"/>
      <c r="L231" s="1141"/>
      <c r="M231" s="1141"/>
      <c r="N231" s="1141"/>
      <c r="O231" s="1141"/>
      <c r="P231" s="1141"/>
      <c r="Q231" s="1141"/>
      <c r="R231" s="1141"/>
      <c r="S231" s="1141"/>
      <c r="T231" s="1141"/>
      <c r="U231" s="1135"/>
      <c r="V231" s="1141"/>
      <c r="W231" s="1141"/>
      <c r="X231" s="1141"/>
      <c r="Y231" s="1141"/>
      <c r="Z231" s="1141"/>
      <c r="AA231" s="1141"/>
      <c r="AB231" s="1141"/>
      <c r="AC231" s="1141"/>
      <c r="AD231" s="1141"/>
      <c r="AE231" s="1135"/>
      <c r="AF231" s="1141"/>
      <c r="AG231" s="1135"/>
      <c r="AH231" s="1141"/>
      <c r="AI231" s="1141"/>
      <c r="AJ231" s="1142"/>
      <c r="AK231" s="1137">
        <f t="shared" si="13"/>
        <v>0</v>
      </c>
      <c r="AL231" s="1137">
        <f t="shared" si="13"/>
        <v>0</v>
      </c>
    </row>
    <row r="232" spans="1:38" hidden="1" outlineLevel="2" x14ac:dyDescent="0.3">
      <c r="A232" s="1130"/>
      <c r="B232" s="1138"/>
      <c r="C232" s="1139"/>
      <c r="D232" s="1140"/>
      <c r="E232" s="1134"/>
      <c r="F232" s="1141"/>
      <c r="G232" s="1141"/>
      <c r="H232" s="1141"/>
      <c r="I232" s="1141"/>
      <c r="J232" s="1141"/>
      <c r="K232" s="1135"/>
      <c r="L232" s="1141"/>
      <c r="M232" s="1141"/>
      <c r="N232" s="1141"/>
      <c r="O232" s="1141"/>
      <c r="P232" s="1141"/>
      <c r="Q232" s="1141"/>
      <c r="R232" s="1141"/>
      <c r="S232" s="1141"/>
      <c r="T232" s="1141"/>
      <c r="U232" s="1135"/>
      <c r="V232" s="1141"/>
      <c r="W232" s="1141"/>
      <c r="X232" s="1141"/>
      <c r="Y232" s="1141"/>
      <c r="Z232" s="1141"/>
      <c r="AA232" s="1141"/>
      <c r="AB232" s="1141"/>
      <c r="AC232" s="1141"/>
      <c r="AD232" s="1141"/>
      <c r="AE232" s="1135"/>
      <c r="AF232" s="1141"/>
      <c r="AG232" s="1135"/>
      <c r="AH232" s="1141"/>
      <c r="AI232" s="1141"/>
      <c r="AJ232" s="1142"/>
      <c r="AK232" s="1137">
        <f t="shared" si="13"/>
        <v>0</v>
      </c>
      <c r="AL232" s="1137">
        <f t="shared" si="13"/>
        <v>0</v>
      </c>
    </row>
    <row r="233" spans="1:38" hidden="1" outlineLevel="2" x14ac:dyDescent="0.3">
      <c r="A233" s="1130"/>
      <c r="B233" s="1138"/>
      <c r="C233" s="1139"/>
      <c r="D233" s="1140"/>
      <c r="E233" s="1134"/>
      <c r="F233" s="1141"/>
      <c r="G233" s="1141"/>
      <c r="H233" s="1141"/>
      <c r="I233" s="1141"/>
      <c r="J233" s="1141"/>
      <c r="K233" s="1135"/>
      <c r="L233" s="1141"/>
      <c r="M233" s="1141"/>
      <c r="N233" s="1141"/>
      <c r="O233" s="1141"/>
      <c r="P233" s="1141"/>
      <c r="Q233" s="1141"/>
      <c r="R233" s="1141"/>
      <c r="S233" s="1141"/>
      <c r="T233" s="1141"/>
      <c r="U233" s="1135"/>
      <c r="V233" s="1141"/>
      <c r="W233" s="1141"/>
      <c r="X233" s="1141"/>
      <c r="Y233" s="1141"/>
      <c r="Z233" s="1141"/>
      <c r="AA233" s="1141"/>
      <c r="AB233" s="1141"/>
      <c r="AC233" s="1141"/>
      <c r="AD233" s="1141"/>
      <c r="AE233" s="1135"/>
      <c r="AF233" s="1141"/>
      <c r="AG233" s="1135"/>
      <c r="AH233" s="1141"/>
      <c r="AI233" s="1141"/>
      <c r="AJ233" s="1142"/>
      <c r="AK233" s="1137">
        <f t="shared" si="13"/>
        <v>0</v>
      </c>
      <c r="AL233" s="1137">
        <f t="shared" si="13"/>
        <v>0</v>
      </c>
    </row>
    <row r="234" spans="1:38" hidden="1" outlineLevel="2" x14ac:dyDescent="0.3">
      <c r="A234" s="1130"/>
      <c r="B234" s="1138"/>
      <c r="C234" s="1139"/>
      <c r="D234" s="1140"/>
      <c r="E234" s="1134"/>
      <c r="F234" s="1141"/>
      <c r="G234" s="1141"/>
      <c r="H234" s="1141"/>
      <c r="I234" s="1141"/>
      <c r="J234" s="1141"/>
      <c r="K234" s="1135"/>
      <c r="L234" s="1141"/>
      <c r="M234" s="1141"/>
      <c r="N234" s="1141"/>
      <c r="O234" s="1141"/>
      <c r="P234" s="1141"/>
      <c r="Q234" s="1141"/>
      <c r="R234" s="1141"/>
      <c r="S234" s="1141"/>
      <c r="T234" s="1141"/>
      <c r="U234" s="1135"/>
      <c r="V234" s="1141"/>
      <c r="W234" s="1141"/>
      <c r="X234" s="1141"/>
      <c r="Y234" s="1141"/>
      <c r="Z234" s="1141"/>
      <c r="AA234" s="1141"/>
      <c r="AB234" s="1141"/>
      <c r="AC234" s="1141"/>
      <c r="AD234" s="1141"/>
      <c r="AE234" s="1135"/>
      <c r="AF234" s="1141"/>
      <c r="AG234" s="1135"/>
      <c r="AH234" s="1141"/>
      <c r="AI234" s="1141"/>
      <c r="AJ234" s="1142"/>
      <c r="AK234" s="1137">
        <f t="shared" si="13"/>
        <v>0</v>
      </c>
      <c r="AL234" s="1137">
        <f t="shared" si="13"/>
        <v>0</v>
      </c>
    </row>
    <row r="235" spans="1:38" hidden="1" outlineLevel="2" x14ac:dyDescent="0.3">
      <c r="A235" s="1130"/>
      <c r="B235" s="1138"/>
      <c r="C235" s="1139"/>
      <c r="D235" s="1140"/>
      <c r="E235" s="1134"/>
      <c r="F235" s="1141"/>
      <c r="G235" s="1141"/>
      <c r="H235" s="1141"/>
      <c r="I235" s="1141"/>
      <c r="J235" s="1141"/>
      <c r="K235" s="1135"/>
      <c r="L235" s="1141"/>
      <c r="M235" s="1141"/>
      <c r="N235" s="1141"/>
      <c r="O235" s="1141"/>
      <c r="P235" s="1141"/>
      <c r="Q235" s="1141"/>
      <c r="R235" s="1141"/>
      <c r="S235" s="1141"/>
      <c r="T235" s="1141"/>
      <c r="U235" s="1135"/>
      <c r="V235" s="1141"/>
      <c r="W235" s="1141"/>
      <c r="X235" s="1141"/>
      <c r="Y235" s="1141"/>
      <c r="Z235" s="1141"/>
      <c r="AA235" s="1141"/>
      <c r="AB235" s="1141"/>
      <c r="AC235" s="1141"/>
      <c r="AD235" s="1141"/>
      <c r="AE235" s="1135"/>
      <c r="AF235" s="1141"/>
      <c r="AG235" s="1135"/>
      <c r="AH235" s="1141"/>
      <c r="AI235" s="1141"/>
      <c r="AJ235" s="1142"/>
      <c r="AK235" s="1137">
        <f t="shared" si="13"/>
        <v>0</v>
      </c>
      <c r="AL235" s="1137">
        <f t="shared" si="13"/>
        <v>0</v>
      </c>
    </row>
    <row r="236" spans="1:38" hidden="1" outlineLevel="2" x14ac:dyDescent="0.3">
      <c r="A236" s="1130"/>
      <c r="B236" s="1138"/>
      <c r="C236" s="1139"/>
      <c r="D236" s="1140"/>
      <c r="E236" s="1134"/>
      <c r="F236" s="1141"/>
      <c r="G236" s="1141"/>
      <c r="H236" s="1141"/>
      <c r="I236" s="1141"/>
      <c r="J236" s="1141"/>
      <c r="K236" s="1135"/>
      <c r="L236" s="1141"/>
      <c r="M236" s="1141"/>
      <c r="N236" s="1141"/>
      <c r="O236" s="1141"/>
      <c r="P236" s="1141"/>
      <c r="Q236" s="1141"/>
      <c r="R236" s="1141"/>
      <c r="S236" s="1141"/>
      <c r="T236" s="1141"/>
      <c r="U236" s="1135"/>
      <c r="V236" s="1141"/>
      <c r="W236" s="1141"/>
      <c r="X236" s="1141"/>
      <c r="Y236" s="1141"/>
      <c r="Z236" s="1141"/>
      <c r="AA236" s="1141"/>
      <c r="AB236" s="1141"/>
      <c r="AC236" s="1141"/>
      <c r="AD236" s="1141"/>
      <c r="AE236" s="1135"/>
      <c r="AF236" s="1141"/>
      <c r="AG236" s="1135"/>
      <c r="AH236" s="1141"/>
      <c r="AI236" s="1141"/>
      <c r="AJ236" s="1142"/>
      <c r="AK236" s="1137">
        <f t="shared" si="13"/>
        <v>0</v>
      </c>
      <c r="AL236" s="1137">
        <f t="shared" si="13"/>
        <v>0</v>
      </c>
    </row>
    <row r="237" spans="1:38" hidden="1" outlineLevel="2" x14ac:dyDescent="0.3">
      <c r="A237" s="1130"/>
      <c r="B237" s="1138"/>
      <c r="C237" s="1139"/>
      <c r="D237" s="1140"/>
      <c r="E237" s="1134"/>
      <c r="F237" s="1141"/>
      <c r="G237" s="1141"/>
      <c r="H237" s="1141"/>
      <c r="I237" s="1141"/>
      <c r="J237" s="1141"/>
      <c r="K237" s="1135"/>
      <c r="L237" s="1141"/>
      <c r="M237" s="1141"/>
      <c r="N237" s="1141"/>
      <c r="O237" s="1141"/>
      <c r="P237" s="1141"/>
      <c r="Q237" s="1141"/>
      <c r="R237" s="1141"/>
      <c r="S237" s="1141"/>
      <c r="T237" s="1141"/>
      <c r="U237" s="1135"/>
      <c r="V237" s="1141"/>
      <c r="W237" s="1141"/>
      <c r="X237" s="1141"/>
      <c r="Y237" s="1141"/>
      <c r="Z237" s="1141"/>
      <c r="AA237" s="1141"/>
      <c r="AB237" s="1141"/>
      <c r="AC237" s="1141"/>
      <c r="AD237" s="1141"/>
      <c r="AE237" s="1135"/>
      <c r="AF237" s="1141"/>
      <c r="AG237" s="1135"/>
      <c r="AH237" s="1141"/>
      <c r="AI237" s="1141"/>
      <c r="AJ237" s="1142"/>
      <c r="AK237" s="1137">
        <f t="shared" si="13"/>
        <v>0</v>
      </c>
      <c r="AL237" s="1137">
        <f t="shared" si="13"/>
        <v>0</v>
      </c>
    </row>
    <row r="238" spans="1:38" hidden="1" outlineLevel="2" x14ac:dyDescent="0.3">
      <c r="A238" s="1130"/>
      <c r="B238" s="1138"/>
      <c r="C238" s="1139"/>
      <c r="D238" s="1140"/>
      <c r="E238" s="1134"/>
      <c r="F238" s="1141"/>
      <c r="G238" s="1141"/>
      <c r="H238" s="1141"/>
      <c r="I238" s="1141"/>
      <c r="J238" s="1141"/>
      <c r="K238" s="1135"/>
      <c r="L238" s="1141"/>
      <c r="M238" s="1141"/>
      <c r="N238" s="1141"/>
      <c r="O238" s="1141"/>
      <c r="P238" s="1141"/>
      <c r="Q238" s="1141"/>
      <c r="R238" s="1141"/>
      <c r="S238" s="1141"/>
      <c r="T238" s="1141"/>
      <c r="U238" s="1135"/>
      <c r="V238" s="1141"/>
      <c r="W238" s="1141"/>
      <c r="X238" s="1141"/>
      <c r="Y238" s="1141"/>
      <c r="Z238" s="1141"/>
      <c r="AA238" s="1141"/>
      <c r="AB238" s="1141"/>
      <c r="AC238" s="1141"/>
      <c r="AD238" s="1141"/>
      <c r="AE238" s="1135"/>
      <c r="AF238" s="1141"/>
      <c r="AG238" s="1135"/>
      <c r="AH238" s="1141"/>
      <c r="AI238" s="1141"/>
      <c r="AJ238" s="1142"/>
      <c r="AK238" s="1137">
        <f t="shared" si="13"/>
        <v>0</v>
      </c>
      <c r="AL238" s="1137">
        <f t="shared" si="13"/>
        <v>0</v>
      </c>
    </row>
    <row r="239" spans="1:38" hidden="1" outlineLevel="2" x14ac:dyDescent="0.3">
      <c r="A239" s="1130"/>
      <c r="B239" s="1138"/>
      <c r="C239" s="1139"/>
      <c r="D239" s="1140"/>
      <c r="E239" s="1134"/>
      <c r="F239" s="1141"/>
      <c r="G239" s="1141"/>
      <c r="H239" s="1141"/>
      <c r="I239" s="1141"/>
      <c r="J239" s="1141"/>
      <c r="K239" s="1135"/>
      <c r="L239" s="1141"/>
      <c r="M239" s="1141"/>
      <c r="N239" s="1141"/>
      <c r="O239" s="1141"/>
      <c r="P239" s="1141"/>
      <c r="Q239" s="1141"/>
      <c r="R239" s="1141"/>
      <c r="S239" s="1141"/>
      <c r="T239" s="1141"/>
      <c r="U239" s="1135"/>
      <c r="V239" s="1141"/>
      <c r="W239" s="1141"/>
      <c r="X239" s="1141"/>
      <c r="Y239" s="1141"/>
      <c r="Z239" s="1141"/>
      <c r="AA239" s="1141"/>
      <c r="AB239" s="1141"/>
      <c r="AC239" s="1141"/>
      <c r="AD239" s="1141"/>
      <c r="AE239" s="1135"/>
      <c r="AF239" s="1141"/>
      <c r="AG239" s="1135"/>
      <c r="AH239" s="1141"/>
      <c r="AI239" s="1141"/>
      <c r="AJ239" s="1142"/>
      <c r="AK239" s="1137">
        <f t="shared" si="13"/>
        <v>0</v>
      </c>
      <c r="AL239" s="1137">
        <f t="shared" si="13"/>
        <v>0</v>
      </c>
    </row>
    <row r="240" spans="1:38" hidden="1" outlineLevel="2" x14ac:dyDescent="0.3">
      <c r="A240" s="1130"/>
      <c r="B240" s="1138"/>
      <c r="C240" s="1139"/>
      <c r="D240" s="1140"/>
      <c r="E240" s="1134"/>
      <c r="F240" s="1141"/>
      <c r="G240" s="1141"/>
      <c r="H240" s="1141"/>
      <c r="I240" s="1141"/>
      <c r="J240" s="1141"/>
      <c r="K240" s="1135"/>
      <c r="L240" s="1141"/>
      <c r="M240" s="1141"/>
      <c r="N240" s="1141"/>
      <c r="O240" s="1141"/>
      <c r="P240" s="1141"/>
      <c r="Q240" s="1141"/>
      <c r="R240" s="1141"/>
      <c r="S240" s="1141"/>
      <c r="T240" s="1141"/>
      <c r="U240" s="1135"/>
      <c r="V240" s="1141"/>
      <c r="W240" s="1141"/>
      <c r="X240" s="1141"/>
      <c r="Y240" s="1141"/>
      <c r="Z240" s="1141"/>
      <c r="AA240" s="1141"/>
      <c r="AB240" s="1141"/>
      <c r="AC240" s="1141"/>
      <c r="AD240" s="1141"/>
      <c r="AE240" s="1135"/>
      <c r="AF240" s="1141"/>
      <c r="AG240" s="1135"/>
      <c r="AH240" s="1141"/>
      <c r="AI240" s="1141"/>
      <c r="AJ240" s="1142"/>
      <c r="AK240" s="1137">
        <f t="shared" si="13"/>
        <v>0</v>
      </c>
      <c r="AL240" s="1137">
        <f t="shared" si="13"/>
        <v>0</v>
      </c>
    </row>
    <row r="241" spans="1:38" hidden="1" outlineLevel="2" x14ac:dyDescent="0.3">
      <c r="A241" s="1130"/>
      <c r="B241" s="1138"/>
      <c r="C241" s="1139"/>
      <c r="D241" s="1140"/>
      <c r="E241" s="1134"/>
      <c r="F241" s="1141"/>
      <c r="G241" s="1141"/>
      <c r="H241" s="1141"/>
      <c r="I241" s="1141"/>
      <c r="J241" s="1141"/>
      <c r="K241" s="1135"/>
      <c r="L241" s="1141"/>
      <c r="M241" s="1141"/>
      <c r="N241" s="1141"/>
      <c r="O241" s="1141"/>
      <c r="P241" s="1141"/>
      <c r="Q241" s="1141"/>
      <c r="R241" s="1141"/>
      <c r="S241" s="1141"/>
      <c r="T241" s="1141"/>
      <c r="U241" s="1135"/>
      <c r="V241" s="1141"/>
      <c r="W241" s="1141"/>
      <c r="X241" s="1141"/>
      <c r="Y241" s="1141"/>
      <c r="Z241" s="1141"/>
      <c r="AA241" s="1141"/>
      <c r="AB241" s="1141"/>
      <c r="AC241" s="1141"/>
      <c r="AD241" s="1141"/>
      <c r="AE241" s="1135"/>
      <c r="AF241" s="1141"/>
      <c r="AG241" s="1135"/>
      <c r="AH241" s="1141"/>
      <c r="AI241" s="1141"/>
      <c r="AJ241" s="1142"/>
      <c r="AK241" s="1137">
        <f t="shared" si="13"/>
        <v>0</v>
      </c>
      <c r="AL241" s="1137">
        <f t="shared" si="13"/>
        <v>0</v>
      </c>
    </row>
    <row r="242" spans="1:38" hidden="1" outlineLevel="2" x14ac:dyDescent="0.3">
      <c r="A242" s="1130"/>
      <c r="B242" s="1138"/>
      <c r="C242" s="1139"/>
      <c r="D242" s="1140"/>
      <c r="E242" s="1134"/>
      <c r="F242" s="1141"/>
      <c r="G242" s="1141"/>
      <c r="H242" s="1141"/>
      <c r="I242" s="1141"/>
      <c r="J242" s="1141"/>
      <c r="K242" s="1135"/>
      <c r="L242" s="1141"/>
      <c r="M242" s="1141"/>
      <c r="N242" s="1141"/>
      <c r="O242" s="1141"/>
      <c r="P242" s="1141"/>
      <c r="Q242" s="1141"/>
      <c r="R242" s="1141"/>
      <c r="S242" s="1141"/>
      <c r="T242" s="1141"/>
      <c r="U242" s="1135"/>
      <c r="V242" s="1141"/>
      <c r="W242" s="1141"/>
      <c r="X242" s="1141"/>
      <c r="Y242" s="1141"/>
      <c r="Z242" s="1141"/>
      <c r="AA242" s="1141"/>
      <c r="AB242" s="1141"/>
      <c r="AC242" s="1141"/>
      <c r="AD242" s="1141"/>
      <c r="AE242" s="1135"/>
      <c r="AF242" s="1141"/>
      <c r="AG242" s="1135"/>
      <c r="AH242" s="1141"/>
      <c r="AI242" s="1141"/>
      <c r="AJ242" s="1142"/>
      <c r="AK242" s="1137">
        <f t="shared" si="13"/>
        <v>0</v>
      </c>
      <c r="AL242" s="1137">
        <f t="shared" si="13"/>
        <v>0</v>
      </c>
    </row>
    <row r="243" spans="1:38" hidden="1" outlineLevel="2" x14ac:dyDescent="0.3">
      <c r="A243" s="1130"/>
      <c r="B243" s="1138"/>
      <c r="C243" s="1139"/>
      <c r="D243" s="1140"/>
      <c r="E243" s="1134"/>
      <c r="F243" s="1141"/>
      <c r="G243" s="1141"/>
      <c r="H243" s="1141"/>
      <c r="I243" s="1141"/>
      <c r="J243" s="1141"/>
      <c r="K243" s="1135"/>
      <c r="L243" s="1141"/>
      <c r="M243" s="1141"/>
      <c r="N243" s="1141"/>
      <c r="O243" s="1141"/>
      <c r="P243" s="1141"/>
      <c r="Q243" s="1141"/>
      <c r="R243" s="1141"/>
      <c r="S243" s="1141"/>
      <c r="T243" s="1141"/>
      <c r="U243" s="1135"/>
      <c r="V243" s="1141"/>
      <c r="W243" s="1141"/>
      <c r="X243" s="1141"/>
      <c r="Y243" s="1141"/>
      <c r="Z243" s="1141"/>
      <c r="AA243" s="1141"/>
      <c r="AB243" s="1141"/>
      <c r="AC243" s="1141"/>
      <c r="AD243" s="1141"/>
      <c r="AE243" s="1135"/>
      <c r="AF243" s="1141"/>
      <c r="AG243" s="1135"/>
      <c r="AH243" s="1141"/>
      <c r="AI243" s="1141"/>
      <c r="AJ243" s="1142"/>
      <c r="AK243" s="1137">
        <f t="shared" si="13"/>
        <v>0</v>
      </c>
      <c r="AL243" s="1137">
        <f t="shared" si="13"/>
        <v>0</v>
      </c>
    </row>
    <row r="244" spans="1:38" hidden="1" outlineLevel="2" x14ac:dyDescent="0.3">
      <c r="A244" s="1130"/>
      <c r="B244" s="1138"/>
      <c r="C244" s="1139"/>
      <c r="D244" s="1140"/>
      <c r="E244" s="1134"/>
      <c r="F244" s="1141"/>
      <c r="G244" s="1141"/>
      <c r="H244" s="1141"/>
      <c r="I244" s="1141"/>
      <c r="J244" s="1141"/>
      <c r="K244" s="1135"/>
      <c r="L244" s="1141"/>
      <c r="M244" s="1141"/>
      <c r="N244" s="1141"/>
      <c r="O244" s="1141"/>
      <c r="P244" s="1141"/>
      <c r="Q244" s="1141"/>
      <c r="R244" s="1141"/>
      <c r="S244" s="1141"/>
      <c r="T244" s="1141"/>
      <c r="U244" s="1135"/>
      <c r="V244" s="1141"/>
      <c r="W244" s="1141"/>
      <c r="X244" s="1141"/>
      <c r="Y244" s="1141"/>
      <c r="Z244" s="1141"/>
      <c r="AA244" s="1141"/>
      <c r="AB244" s="1141"/>
      <c r="AC244" s="1141"/>
      <c r="AD244" s="1141"/>
      <c r="AE244" s="1135"/>
      <c r="AF244" s="1141"/>
      <c r="AG244" s="1135"/>
      <c r="AH244" s="1141"/>
      <c r="AI244" s="1141"/>
      <c r="AJ244" s="1142"/>
      <c r="AK244" s="1137">
        <f t="shared" si="13"/>
        <v>0</v>
      </c>
      <c r="AL244" s="1137">
        <f t="shared" si="13"/>
        <v>0</v>
      </c>
    </row>
    <row r="245" spans="1:38" hidden="1" outlineLevel="2" x14ac:dyDescent="0.3">
      <c r="A245" s="1130"/>
      <c r="B245" s="1138"/>
      <c r="C245" s="1139"/>
      <c r="D245" s="1140"/>
      <c r="E245" s="1134"/>
      <c r="F245" s="1141"/>
      <c r="G245" s="1141"/>
      <c r="H245" s="1141"/>
      <c r="I245" s="1141"/>
      <c r="J245" s="1141"/>
      <c r="K245" s="1135"/>
      <c r="L245" s="1141"/>
      <c r="M245" s="1141"/>
      <c r="N245" s="1141"/>
      <c r="O245" s="1141"/>
      <c r="P245" s="1141"/>
      <c r="Q245" s="1141"/>
      <c r="R245" s="1141"/>
      <c r="S245" s="1141"/>
      <c r="T245" s="1141"/>
      <c r="U245" s="1135"/>
      <c r="V245" s="1141"/>
      <c r="W245" s="1141"/>
      <c r="X245" s="1141"/>
      <c r="Y245" s="1141"/>
      <c r="Z245" s="1141"/>
      <c r="AA245" s="1141"/>
      <c r="AB245" s="1141"/>
      <c r="AC245" s="1141"/>
      <c r="AD245" s="1141"/>
      <c r="AE245" s="1135"/>
      <c r="AF245" s="1141"/>
      <c r="AG245" s="1135"/>
      <c r="AH245" s="1141"/>
      <c r="AI245" s="1141"/>
      <c r="AJ245" s="1142"/>
      <c r="AK245" s="1137">
        <f t="shared" si="13"/>
        <v>0</v>
      </c>
      <c r="AL245" s="1137">
        <f t="shared" si="13"/>
        <v>0</v>
      </c>
    </row>
    <row r="246" spans="1:38" hidden="1" outlineLevel="2" x14ac:dyDescent="0.3">
      <c r="A246" s="1130"/>
      <c r="B246" s="1138"/>
      <c r="C246" s="1139"/>
      <c r="D246" s="1140"/>
      <c r="E246" s="1143"/>
      <c r="F246" s="1141"/>
      <c r="G246" s="1141"/>
      <c r="H246" s="1141"/>
      <c r="I246" s="1141"/>
      <c r="J246" s="1141"/>
      <c r="K246" s="1141"/>
      <c r="L246" s="1141"/>
      <c r="M246" s="1141"/>
      <c r="N246" s="1141"/>
      <c r="O246" s="1141"/>
      <c r="P246" s="1141"/>
      <c r="Q246" s="1141"/>
      <c r="R246" s="1141"/>
      <c r="S246" s="1141"/>
      <c r="T246" s="1141"/>
      <c r="U246" s="1135"/>
      <c r="V246" s="1141"/>
      <c r="W246" s="1141"/>
      <c r="X246" s="1141"/>
      <c r="Y246" s="1141"/>
      <c r="Z246" s="1141"/>
      <c r="AA246" s="1141"/>
      <c r="AB246" s="1141"/>
      <c r="AC246" s="1141"/>
      <c r="AD246" s="1141"/>
      <c r="AE246" s="1135"/>
      <c r="AF246" s="1141"/>
      <c r="AG246" s="1135"/>
      <c r="AH246" s="1141"/>
      <c r="AI246" s="1141"/>
      <c r="AJ246" s="1142"/>
      <c r="AK246" s="1137">
        <f t="shared" si="13"/>
        <v>0</v>
      </c>
      <c r="AL246" s="1144">
        <f t="shared" si="13"/>
        <v>0</v>
      </c>
    </row>
    <row r="247" spans="1:38" hidden="1" outlineLevel="2" x14ac:dyDescent="0.3">
      <c r="A247" s="1130"/>
      <c r="B247" s="1138"/>
      <c r="C247" s="1139"/>
      <c r="D247" s="1140"/>
      <c r="E247" s="1143"/>
      <c r="F247" s="1141"/>
      <c r="G247" s="1141"/>
      <c r="H247" s="1141"/>
      <c r="I247" s="1141"/>
      <c r="J247" s="1141"/>
      <c r="K247" s="1141"/>
      <c r="L247" s="1141"/>
      <c r="M247" s="1141"/>
      <c r="N247" s="1141"/>
      <c r="O247" s="1141"/>
      <c r="P247" s="1141"/>
      <c r="Q247" s="1141"/>
      <c r="R247" s="1141"/>
      <c r="S247" s="1141"/>
      <c r="T247" s="1141"/>
      <c r="U247" s="1141"/>
      <c r="V247" s="1141"/>
      <c r="W247" s="1141"/>
      <c r="X247" s="1141"/>
      <c r="Y247" s="1141"/>
      <c r="Z247" s="1141"/>
      <c r="AA247" s="1141"/>
      <c r="AB247" s="1141"/>
      <c r="AC247" s="1141"/>
      <c r="AD247" s="1141"/>
      <c r="AE247" s="1141"/>
      <c r="AF247" s="1141"/>
      <c r="AG247" s="1141"/>
      <c r="AH247" s="1141"/>
      <c r="AI247" s="1141"/>
      <c r="AJ247" s="1142"/>
      <c r="AK247" s="1142">
        <f t="shared" ref="AK247:AL268" si="14">SUM(E247,G247,I247)-SUM(K247,M247,O247,Q247,S247,U247,W247,Y247,AA247,AC247,AE247,AG247,AI247)</f>
        <v>0</v>
      </c>
      <c r="AL247" s="1144">
        <f t="shared" si="14"/>
        <v>0</v>
      </c>
    </row>
    <row r="248" spans="1:38" ht="15" outlineLevel="1" collapsed="1" thickBot="1" x14ac:dyDescent="0.35">
      <c r="A248" s="1130"/>
      <c r="B248" s="1145" t="s">
        <v>550</v>
      </c>
      <c r="C248" s="1146"/>
      <c r="D248" s="1147"/>
      <c r="E248" s="1148">
        <f t="shared" ref="E248:AJ248" si="15">SUBTOTAL(9,E196:E247)</f>
        <v>0</v>
      </c>
      <c r="F248" s="1149">
        <f t="shared" si="15"/>
        <v>0</v>
      </c>
      <c r="G248" s="1149">
        <f t="shared" si="15"/>
        <v>0</v>
      </c>
      <c r="H248" s="1149">
        <f t="shared" si="15"/>
        <v>0</v>
      </c>
      <c r="I248" s="1149">
        <f t="shared" si="15"/>
        <v>0</v>
      </c>
      <c r="J248" s="1149">
        <f t="shared" si="15"/>
        <v>0</v>
      </c>
      <c r="K248" s="1149">
        <f t="shared" si="15"/>
        <v>0</v>
      </c>
      <c r="L248" s="1149">
        <f t="shared" si="15"/>
        <v>0</v>
      </c>
      <c r="M248" s="1149">
        <f t="shared" si="15"/>
        <v>0</v>
      </c>
      <c r="N248" s="1149">
        <f t="shared" si="15"/>
        <v>0</v>
      </c>
      <c r="O248" s="1149">
        <f t="shared" si="15"/>
        <v>0</v>
      </c>
      <c r="P248" s="1149">
        <f t="shared" si="15"/>
        <v>0</v>
      </c>
      <c r="Q248" s="1149">
        <f t="shared" si="15"/>
        <v>0</v>
      </c>
      <c r="R248" s="1149">
        <f t="shared" si="15"/>
        <v>0</v>
      </c>
      <c r="S248" s="1149">
        <f t="shared" si="15"/>
        <v>0</v>
      </c>
      <c r="T248" s="1149">
        <f t="shared" si="15"/>
        <v>0</v>
      </c>
      <c r="U248" s="1149">
        <f t="shared" si="15"/>
        <v>0</v>
      </c>
      <c r="V248" s="1149">
        <f t="shared" si="15"/>
        <v>0</v>
      </c>
      <c r="W248" s="1149">
        <f t="shared" si="15"/>
        <v>0</v>
      </c>
      <c r="X248" s="1149">
        <f t="shared" si="15"/>
        <v>0</v>
      </c>
      <c r="Y248" s="1149">
        <f t="shared" si="15"/>
        <v>0</v>
      </c>
      <c r="Z248" s="1149">
        <f t="shared" si="15"/>
        <v>0</v>
      </c>
      <c r="AA248" s="1149">
        <f t="shared" si="15"/>
        <v>0</v>
      </c>
      <c r="AB248" s="1149">
        <f t="shared" si="15"/>
        <v>0</v>
      </c>
      <c r="AC248" s="1149">
        <f t="shared" si="15"/>
        <v>0</v>
      </c>
      <c r="AD248" s="1149">
        <f t="shared" si="15"/>
        <v>0</v>
      </c>
      <c r="AE248" s="1149">
        <f t="shared" si="15"/>
        <v>0</v>
      </c>
      <c r="AF248" s="1149">
        <f t="shared" si="15"/>
        <v>0</v>
      </c>
      <c r="AG248" s="1149">
        <f t="shared" si="15"/>
        <v>0</v>
      </c>
      <c r="AH248" s="1149">
        <f t="shared" si="15"/>
        <v>0</v>
      </c>
      <c r="AI248" s="1149">
        <f t="shared" si="15"/>
        <v>0</v>
      </c>
      <c r="AJ248" s="1149">
        <f t="shared" si="15"/>
        <v>0</v>
      </c>
      <c r="AK248" s="1149">
        <f t="shared" si="14"/>
        <v>0</v>
      </c>
      <c r="AL248" s="1149">
        <f t="shared" si="14"/>
        <v>0</v>
      </c>
    </row>
    <row r="249" spans="1:38" ht="36" outlineLevel="1" x14ac:dyDescent="0.35">
      <c r="A249" s="1150" t="s">
        <v>1460</v>
      </c>
      <c r="B249" s="1151"/>
      <c r="C249" s="1152"/>
      <c r="D249" s="1153"/>
      <c r="E249" s="1154"/>
      <c r="F249" s="1155"/>
      <c r="G249" s="1155"/>
      <c r="H249" s="1155"/>
      <c r="I249" s="1155"/>
      <c r="J249" s="1155"/>
      <c r="K249" s="1155"/>
      <c r="L249" s="1155"/>
      <c r="M249" s="1155"/>
      <c r="N249" s="1155"/>
      <c r="O249" s="1155"/>
      <c r="P249" s="1155"/>
      <c r="Q249" s="1155"/>
      <c r="R249" s="1155"/>
      <c r="S249" s="1155"/>
      <c r="T249" s="1155"/>
      <c r="U249" s="1155"/>
      <c r="V249" s="1155"/>
      <c r="W249" s="1155"/>
      <c r="X249" s="1155"/>
      <c r="Y249" s="1155"/>
      <c r="Z249" s="1155"/>
      <c r="AA249" s="1155"/>
      <c r="AB249" s="1155"/>
      <c r="AC249" s="1155"/>
      <c r="AD249" s="1155"/>
      <c r="AE249" s="1155"/>
      <c r="AF249" s="1155"/>
      <c r="AG249" s="1155"/>
      <c r="AH249" s="1155"/>
      <c r="AI249" s="1155"/>
      <c r="AJ249" s="1156"/>
      <c r="AK249" s="1156">
        <f t="shared" si="14"/>
        <v>0</v>
      </c>
      <c r="AL249" s="1157">
        <f t="shared" si="14"/>
        <v>0</v>
      </c>
    </row>
    <row r="250" spans="1:38" hidden="1" outlineLevel="2" x14ac:dyDescent="0.3">
      <c r="A250" s="1158"/>
      <c r="B250" s="1159"/>
      <c r="C250" s="1160"/>
      <c r="D250" s="1161"/>
      <c r="E250" s="1162"/>
      <c r="F250" s="1163"/>
      <c r="G250" s="1163"/>
      <c r="H250" s="1163"/>
      <c r="I250" s="1163"/>
      <c r="J250" s="1163"/>
      <c r="K250" s="1163"/>
      <c r="L250" s="1163"/>
      <c r="M250" s="1163"/>
      <c r="N250" s="1163"/>
      <c r="O250" s="1163"/>
      <c r="P250" s="1163"/>
      <c r="Q250" s="1163"/>
      <c r="R250" s="1163"/>
      <c r="S250" s="1163"/>
      <c r="T250" s="1163"/>
      <c r="U250" s="1163"/>
      <c r="V250" s="1163"/>
      <c r="W250" s="1163"/>
      <c r="X250" s="1163"/>
      <c r="Y250" s="1163"/>
      <c r="Z250" s="1163"/>
      <c r="AA250" s="1163"/>
      <c r="AB250" s="1163"/>
      <c r="AC250" s="1163"/>
      <c r="AD250" s="1163"/>
      <c r="AE250" s="1163"/>
      <c r="AF250" s="1163"/>
      <c r="AG250" s="1163"/>
      <c r="AH250" s="1163"/>
      <c r="AI250" s="1163"/>
      <c r="AJ250" s="1164"/>
      <c r="AK250" s="1164">
        <f t="shared" si="14"/>
        <v>0</v>
      </c>
      <c r="AL250" s="1165">
        <f t="shared" si="14"/>
        <v>0</v>
      </c>
    </row>
    <row r="251" spans="1:38" hidden="1" outlineLevel="2" x14ac:dyDescent="0.3">
      <c r="A251" s="1158"/>
      <c r="B251" s="1159"/>
      <c r="C251" s="1160"/>
      <c r="D251" s="1161"/>
      <c r="E251" s="1162"/>
      <c r="F251" s="1163"/>
      <c r="G251" s="1163"/>
      <c r="H251" s="1163"/>
      <c r="I251" s="1163"/>
      <c r="J251" s="1163"/>
      <c r="K251" s="1163"/>
      <c r="L251" s="1163"/>
      <c r="M251" s="1163"/>
      <c r="N251" s="1163"/>
      <c r="O251" s="1163"/>
      <c r="P251" s="1163"/>
      <c r="Q251" s="1163"/>
      <c r="R251" s="1163"/>
      <c r="S251" s="1163"/>
      <c r="T251" s="1163"/>
      <c r="U251" s="1163"/>
      <c r="V251" s="1163"/>
      <c r="W251" s="1163"/>
      <c r="X251" s="1163"/>
      <c r="Y251" s="1163"/>
      <c r="Z251" s="1163"/>
      <c r="AA251" s="1163"/>
      <c r="AB251" s="1163"/>
      <c r="AC251" s="1163"/>
      <c r="AD251" s="1163"/>
      <c r="AE251" s="1163"/>
      <c r="AF251" s="1163"/>
      <c r="AG251" s="1163"/>
      <c r="AH251" s="1163"/>
      <c r="AI251" s="1163"/>
      <c r="AJ251" s="1164"/>
      <c r="AK251" s="1164">
        <f t="shared" si="14"/>
        <v>0</v>
      </c>
      <c r="AL251" s="1165">
        <f t="shared" si="14"/>
        <v>0</v>
      </c>
    </row>
    <row r="252" spans="1:38" hidden="1" outlineLevel="2" x14ac:dyDescent="0.3">
      <c r="A252" s="1158"/>
      <c r="B252" s="1159"/>
      <c r="C252" s="1160"/>
      <c r="D252" s="1161"/>
      <c r="E252" s="1162"/>
      <c r="F252" s="1163"/>
      <c r="G252" s="1163"/>
      <c r="H252" s="1163"/>
      <c r="I252" s="1163"/>
      <c r="J252" s="1163"/>
      <c r="K252" s="1163"/>
      <c r="L252" s="1163"/>
      <c r="M252" s="1163"/>
      <c r="N252" s="1163"/>
      <c r="O252" s="1163"/>
      <c r="P252" s="1163"/>
      <c r="Q252" s="1163"/>
      <c r="R252" s="1163"/>
      <c r="S252" s="1163"/>
      <c r="T252" s="1163"/>
      <c r="U252" s="1163"/>
      <c r="V252" s="1163"/>
      <c r="W252" s="1163"/>
      <c r="X252" s="1163"/>
      <c r="Y252" s="1163"/>
      <c r="Z252" s="1163"/>
      <c r="AA252" s="1163"/>
      <c r="AB252" s="1163"/>
      <c r="AC252" s="1163"/>
      <c r="AD252" s="1163"/>
      <c r="AE252" s="1163"/>
      <c r="AF252" s="1163"/>
      <c r="AG252" s="1163"/>
      <c r="AH252" s="1163"/>
      <c r="AI252" s="1163"/>
      <c r="AJ252" s="1164"/>
      <c r="AK252" s="1164">
        <f t="shared" si="14"/>
        <v>0</v>
      </c>
      <c r="AL252" s="1165">
        <f t="shared" si="14"/>
        <v>0</v>
      </c>
    </row>
    <row r="253" spans="1:38" hidden="1" outlineLevel="2" x14ac:dyDescent="0.3">
      <c r="A253" s="1158"/>
      <c r="B253" s="1159"/>
      <c r="C253" s="1167"/>
      <c r="D253" s="1168"/>
      <c r="E253" s="1169"/>
      <c r="F253" s="1170"/>
      <c r="G253" s="1170"/>
      <c r="H253" s="1170"/>
      <c r="I253" s="1170"/>
      <c r="J253" s="1170"/>
      <c r="K253" s="1170"/>
      <c r="L253" s="1170"/>
      <c r="M253" s="1170"/>
      <c r="N253" s="1170"/>
      <c r="O253" s="1170"/>
      <c r="P253" s="1170"/>
      <c r="Q253" s="1170"/>
      <c r="R253" s="1170"/>
      <c r="S253" s="1170"/>
      <c r="T253" s="1170"/>
      <c r="U253" s="1170"/>
      <c r="V253" s="1170"/>
      <c r="W253" s="1170"/>
      <c r="X253" s="1170"/>
      <c r="Y253" s="1170"/>
      <c r="Z253" s="1170"/>
      <c r="AA253" s="1170"/>
      <c r="AB253" s="1170"/>
      <c r="AC253" s="1170"/>
      <c r="AD253" s="1170"/>
      <c r="AE253" s="1170"/>
      <c r="AF253" s="1170"/>
      <c r="AG253" s="1170"/>
      <c r="AH253" s="1170"/>
      <c r="AI253" s="1170"/>
      <c r="AJ253" s="1171"/>
      <c r="AK253" s="1171">
        <f t="shared" si="14"/>
        <v>0</v>
      </c>
      <c r="AL253" s="1172">
        <f t="shared" si="14"/>
        <v>0</v>
      </c>
    </row>
    <row r="254" spans="1:38" hidden="1" outlineLevel="2" x14ac:dyDescent="0.3">
      <c r="A254" s="1158"/>
      <c r="B254" s="1166"/>
      <c r="C254" s="1167"/>
      <c r="D254" s="1168"/>
      <c r="E254" s="1169"/>
      <c r="F254" s="1170"/>
      <c r="G254" s="1170"/>
      <c r="H254" s="1170"/>
      <c r="I254" s="1170"/>
      <c r="J254" s="1170"/>
      <c r="K254" s="1170"/>
      <c r="L254" s="1170"/>
      <c r="M254" s="1170"/>
      <c r="N254" s="1170"/>
      <c r="O254" s="1170"/>
      <c r="P254" s="1170"/>
      <c r="Q254" s="1170"/>
      <c r="R254" s="1170"/>
      <c r="S254" s="1170"/>
      <c r="T254" s="1170"/>
      <c r="U254" s="1170"/>
      <c r="V254" s="1170"/>
      <c r="W254" s="1170"/>
      <c r="X254" s="1170"/>
      <c r="Y254" s="1170"/>
      <c r="Z254" s="1170"/>
      <c r="AA254" s="1170"/>
      <c r="AB254" s="1170"/>
      <c r="AC254" s="1170"/>
      <c r="AD254" s="1170"/>
      <c r="AE254" s="1170"/>
      <c r="AF254" s="1170"/>
      <c r="AG254" s="1170"/>
      <c r="AH254" s="1170"/>
      <c r="AI254" s="1170"/>
      <c r="AJ254" s="1171"/>
      <c r="AK254" s="1171">
        <f t="shared" si="14"/>
        <v>0</v>
      </c>
      <c r="AL254" s="1172">
        <f t="shared" si="14"/>
        <v>0</v>
      </c>
    </row>
    <row r="255" spans="1:38" hidden="1" outlineLevel="2" x14ac:dyDescent="0.3">
      <c r="A255" s="1158"/>
      <c r="B255" s="1166"/>
      <c r="C255" s="1167"/>
      <c r="D255" s="1168"/>
      <c r="E255" s="1169"/>
      <c r="F255" s="1170"/>
      <c r="G255" s="1170"/>
      <c r="H255" s="1170"/>
      <c r="I255" s="1170"/>
      <c r="J255" s="1170"/>
      <c r="K255" s="1170"/>
      <c r="L255" s="1170"/>
      <c r="M255" s="1170"/>
      <c r="N255" s="1170"/>
      <c r="O255" s="1170"/>
      <c r="P255" s="1170"/>
      <c r="Q255" s="1170"/>
      <c r="R255" s="1170"/>
      <c r="S255" s="1170"/>
      <c r="T255" s="1170"/>
      <c r="U255" s="1170"/>
      <c r="V255" s="1170"/>
      <c r="W255" s="1170"/>
      <c r="X255" s="1170"/>
      <c r="Y255" s="1170"/>
      <c r="Z255" s="1170"/>
      <c r="AA255" s="1170"/>
      <c r="AB255" s="1170"/>
      <c r="AC255" s="1170"/>
      <c r="AD255" s="1170"/>
      <c r="AE255" s="1170"/>
      <c r="AF255" s="1170"/>
      <c r="AG255" s="1170"/>
      <c r="AH255" s="1170"/>
      <c r="AI255" s="1170"/>
      <c r="AJ255" s="1171"/>
      <c r="AK255" s="1171">
        <f t="shared" si="14"/>
        <v>0</v>
      </c>
      <c r="AL255" s="1172">
        <f t="shared" si="14"/>
        <v>0</v>
      </c>
    </row>
    <row r="256" spans="1:38" hidden="1" outlineLevel="2" x14ac:dyDescent="0.3">
      <c r="A256" s="1158"/>
      <c r="B256" s="1166"/>
      <c r="C256" s="1167"/>
      <c r="D256" s="1168"/>
      <c r="E256" s="1169"/>
      <c r="F256" s="1170"/>
      <c r="G256" s="1170"/>
      <c r="H256" s="1170"/>
      <c r="I256" s="1170"/>
      <c r="J256" s="1170"/>
      <c r="K256" s="1170"/>
      <c r="L256" s="1170"/>
      <c r="M256" s="1170"/>
      <c r="N256" s="1170"/>
      <c r="O256" s="1170"/>
      <c r="P256" s="1170"/>
      <c r="Q256" s="1170"/>
      <c r="R256" s="1170"/>
      <c r="S256" s="1170"/>
      <c r="T256" s="1170"/>
      <c r="U256" s="1170"/>
      <c r="V256" s="1170"/>
      <c r="W256" s="1170"/>
      <c r="X256" s="1170"/>
      <c r="Y256" s="1170"/>
      <c r="Z256" s="1170"/>
      <c r="AA256" s="1170"/>
      <c r="AB256" s="1170"/>
      <c r="AC256" s="1170"/>
      <c r="AD256" s="1170"/>
      <c r="AE256" s="1170"/>
      <c r="AF256" s="1170"/>
      <c r="AG256" s="1170"/>
      <c r="AH256" s="1170"/>
      <c r="AI256" s="1170"/>
      <c r="AJ256" s="1171"/>
      <c r="AK256" s="1171">
        <f t="shared" si="14"/>
        <v>0</v>
      </c>
      <c r="AL256" s="1172">
        <f t="shared" si="14"/>
        <v>0</v>
      </c>
    </row>
    <row r="257" spans="1:38" hidden="1" outlineLevel="2" x14ac:dyDescent="0.3">
      <c r="A257" s="1158"/>
      <c r="B257" s="1166"/>
      <c r="C257" s="1167"/>
      <c r="D257" s="1168"/>
      <c r="E257" s="1169"/>
      <c r="F257" s="1170"/>
      <c r="G257" s="1170"/>
      <c r="H257" s="1170"/>
      <c r="I257" s="1170"/>
      <c r="J257" s="1170"/>
      <c r="K257" s="1170"/>
      <c r="L257" s="1170"/>
      <c r="M257" s="1170"/>
      <c r="N257" s="1170"/>
      <c r="O257" s="1170"/>
      <c r="P257" s="1170"/>
      <c r="Q257" s="1170"/>
      <c r="R257" s="1170"/>
      <c r="S257" s="1170"/>
      <c r="T257" s="1170"/>
      <c r="U257" s="1170"/>
      <c r="V257" s="1170"/>
      <c r="W257" s="1170"/>
      <c r="X257" s="1170"/>
      <c r="Y257" s="1170"/>
      <c r="Z257" s="1170"/>
      <c r="AA257" s="1170"/>
      <c r="AB257" s="1170"/>
      <c r="AC257" s="1170"/>
      <c r="AD257" s="1170"/>
      <c r="AE257" s="1170"/>
      <c r="AF257" s="1170"/>
      <c r="AG257" s="1170"/>
      <c r="AH257" s="1170"/>
      <c r="AI257" s="1170"/>
      <c r="AJ257" s="1171"/>
      <c r="AK257" s="1171">
        <f t="shared" si="14"/>
        <v>0</v>
      </c>
      <c r="AL257" s="1172">
        <f t="shared" si="14"/>
        <v>0</v>
      </c>
    </row>
    <row r="258" spans="1:38" hidden="1" outlineLevel="2" x14ac:dyDescent="0.3">
      <c r="A258" s="1158"/>
      <c r="B258" s="1166"/>
      <c r="C258" s="1167"/>
      <c r="D258" s="1168"/>
      <c r="E258" s="1169"/>
      <c r="F258" s="1170"/>
      <c r="G258" s="1170"/>
      <c r="H258" s="1170"/>
      <c r="I258" s="1170"/>
      <c r="J258" s="1170"/>
      <c r="K258" s="1170"/>
      <c r="L258" s="1170"/>
      <c r="M258" s="1170"/>
      <c r="N258" s="1170"/>
      <c r="O258" s="1170"/>
      <c r="P258" s="1170"/>
      <c r="Q258" s="1170"/>
      <c r="R258" s="1170"/>
      <c r="S258" s="1170"/>
      <c r="T258" s="1170"/>
      <c r="U258" s="1170"/>
      <c r="V258" s="1170"/>
      <c r="W258" s="1170"/>
      <c r="X258" s="1170"/>
      <c r="Y258" s="1170"/>
      <c r="Z258" s="1170"/>
      <c r="AA258" s="1170"/>
      <c r="AB258" s="1170"/>
      <c r="AC258" s="1170"/>
      <c r="AD258" s="1170"/>
      <c r="AE258" s="1170"/>
      <c r="AF258" s="1170"/>
      <c r="AG258" s="1170"/>
      <c r="AH258" s="1170"/>
      <c r="AI258" s="1170"/>
      <c r="AJ258" s="1171"/>
      <c r="AK258" s="1171">
        <f t="shared" si="14"/>
        <v>0</v>
      </c>
      <c r="AL258" s="1172">
        <f t="shared" si="14"/>
        <v>0</v>
      </c>
    </row>
    <row r="259" spans="1:38" ht="15" outlineLevel="1" collapsed="1" thickBot="1" x14ac:dyDescent="0.35">
      <c r="A259" s="1158"/>
      <c r="B259" s="1173" t="s">
        <v>550</v>
      </c>
      <c r="C259" s="1174"/>
      <c r="D259" s="1175"/>
      <c r="E259" s="1176">
        <f>SUBTOTAL(9,E250:E252)</f>
        <v>0</v>
      </c>
      <c r="F259" s="1177"/>
      <c r="G259" s="1177">
        <f t="shared" ref="G259:AI259" si="16">SUBTOTAL(9,G250:G252)</f>
        <v>0</v>
      </c>
      <c r="H259" s="1177"/>
      <c r="I259" s="1177">
        <f t="shared" si="16"/>
        <v>0</v>
      </c>
      <c r="J259" s="1177"/>
      <c r="K259" s="1177">
        <f t="shared" si="16"/>
        <v>0</v>
      </c>
      <c r="L259" s="1177"/>
      <c r="M259" s="1177">
        <f t="shared" si="16"/>
        <v>0</v>
      </c>
      <c r="N259" s="1177"/>
      <c r="O259" s="1177">
        <f t="shared" si="16"/>
        <v>0</v>
      </c>
      <c r="P259" s="1177"/>
      <c r="Q259" s="1177">
        <f t="shared" si="16"/>
        <v>0</v>
      </c>
      <c r="R259" s="1177"/>
      <c r="S259" s="1177">
        <f t="shared" si="16"/>
        <v>0</v>
      </c>
      <c r="T259" s="1177"/>
      <c r="U259" s="1177">
        <f t="shared" si="16"/>
        <v>0</v>
      </c>
      <c r="V259" s="1177"/>
      <c r="W259" s="1177">
        <f t="shared" si="16"/>
        <v>0</v>
      </c>
      <c r="X259" s="1177"/>
      <c r="Y259" s="1177">
        <f t="shared" si="16"/>
        <v>0</v>
      </c>
      <c r="Z259" s="1177"/>
      <c r="AA259" s="1177">
        <f>SUBTOTAL(9,AA250:AA253)</f>
        <v>0</v>
      </c>
      <c r="AB259" s="1177"/>
      <c r="AC259" s="1177">
        <f t="shared" si="16"/>
        <v>0</v>
      </c>
      <c r="AD259" s="1177"/>
      <c r="AE259" s="1177">
        <f t="shared" si="16"/>
        <v>0</v>
      </c>
      <c r="AF259" s="1177"/>
      <c r="AG259" s="1177">
        <f t="shared" si="16"/>
        <v>0</v>
      </c>
      <c r="AH259" s="1177"/>
      <c r="AI259" s="1177">
        <f t="shared" si="16"/>
        <v>0</v>
      </c>
      <c r="AJ259" s="1178"/>
      <c r="AK259" s="1178">
        <f t="shared" si="14"/>
        <v>0</v>
      </c>
      <c r="AL259" s="1179">
        <f t="shared" si="14"/>
        <v>0</v>
      </c>
    </row>
    <row r="260" spans="1:38" ht="18" outlineLevel="1" x14ac:dyDescent="0.35">
      <c r="A260" s="1180" t="s">
        <v>1464</v>
      </c>
      <c r="B260" s="1181"/>
      <c r="C260" s="1182"/>
      <c r="D260" s="1183"/>
      <c r="E260" s="1184"/>
      <c r="F260" s="1185"/>
      <c r="G260" s="1185"/>
      <c r="H260" s="1185"/>
      <c r="I260" s="1185"/>
      <c r="J260" s="1185"/>
      <c r="K260" s="1185"/>
      <c r="L260" s="1185"/>
      <c r="M260" s="1185"/>
      <c r="N260" s="1185"/>
      <c r="O260" s="1185"/>
      <c r="P260" s="1185"/>
      <c r="Q260" s="1185"/>
      <c r="R260" s="1185"/>
      <c r="S260" s="1185"/>
      <c r="T260" s="1185"/>
      <c r="U260" s="1185"/>
      <c r="V260" s="1185"/>
      <c r="W260" s="1185"/>
      <c r="X260" s="1185"/>
      <c r="Y260" s="1185"/>
      <c r="Z260" s="1185"/>
      <c r="AA260" s="1185"/>
      <c r="AB260" s="1185"/>
      <c r="AC260" s="1185"/>
      <c r="AD260" s="1185"/>
      <c r="AE260" s="1185"/>
      <c r="AF260" s="1185"/>
      <c r="AG260" s="1185"/>
      <c r="AH260" s="1185"/>
      <c r="AI260" s="1185"/>
      <c r="AJ260" s="1186"/>
      <c r="AK260" s="1186">
        <f t="shared" si="14"/>
        <v>0</v>
      </c>
      <c r="AL260" s="1187">
        <f t="shared" si="14"/>
        <v>0</v>
      </c>
    </row>
    <row r="261" spans="1:38" hidden="1" outlineLevel="2" x14ac:dyDescent="0.3">
      <c r="A261" s="1188"/>
      <c r="B261" s="1189"/>
      <c r="C261" s="1190"/>
      <c r="D261" s="1191"/>
      <c r="E261" s="1192"/>
      <c r="F261" s="1193"/>
      <c r="G261" s="1193"/>
      <c r="H261" s="1193"/>
      <c r="I261" s="1193"/>
      <c r="J261" s="1193"/>
      <c r="K261" s="1193"/>
      <c r="L261" s="1193"/>
      <c r="M261" s="1193"/>
      <c r="N261" s="1193"/>
      <c r="O261" s="1193"/>
      <c r="P261" s="1193"/>
      <c r="Q261" s="1193"/>
      <c r="R261" s="1193"/>
      <c r="S261" s="1193"/>
      <c r="T261" s="1193"/>
      <c r="U261" s="1193"/>
      <c r="V261" s="1193"/>
      <c r="W261" s="1193"/>
      <c r="X261" s="1193"/>
      <c r="Y261" s="1193"/>
      <c r="Z261" s="1193"/>
      <c r="AA261" s="1193"/>
      <c r="AB261" s="1193"/>
      <c r="AC261" s="1193"/>
      <c r="AD261" s="1193"/>
      <c r="AE261" s="1193"/>
      <c r="AF261" s="1193"/>
      <c r="AG261" s="1193"/>
      <c r="AH261" s="1193"/>
      <c r="AI261" s="1193"/>
      <c r="AJ261" s="1194"/>
      <c r="AK261" s="1194">
        <f t="shared" si="14"/>
        <v>0</v>
      </c>
      <c r="AL261" s="1195">
        <f t="shared" si="14"/>
        <v>0</v>
      </c>
    </row>
    <row r="262" spans="1:38" hidden="1" outlineLevel="2" x14ac:dyDescent="0.3">
      <c r="A262" s="1188"/>
      <c r="B262" s="1189"/>
      <c r="C262" s="1190"/>
      <c r="D262" s="1191"/>
      <c r="E262" s="1192"/>
      <c r="F262" s="1193"/>
      <c r="G262" s="1193"/>
      <c r="H262" s="1193"/>
      <c r="I262" s="1193"/>
      <c r="J262" s="1193"/>
      <c r="K262" s="1193"/>
      <c r="L262" s="1193"/>
      <c r="M262" s="1193"/>
      <c r="N262" s="1193"/>
      <c r="O262" s="1193"/>
      <c r="P262" s="1193"/>
      <c r="Q262" s="1193"/>
      <c r="R262" s="1193"/>
      <c r="S262" s="1193"/>
      <c r="T262" s="1193"/>
      <c r="U262" s="1193"/>
      <c r="V262" s="1193"/>
      <c r="W262" s="1193"/>
      <c r="X262" s="1193"/>
      <c r="Y262" s="1193"/>
      <c r="Z262" s="1193"/>
      <c r="AA262" s="1193"/>
      <c r="AB262" s="1193"/>
      <c r="AC262" s="1193"/>
      <c r="AD262" s="1193"/>
      <c r="AE262" s="1193"/>
      <c r="AF262" s="1193"/>
      <c r="AG262" s="1193"/>
      <c r="AH262" s="1193"/>
      <c r="AI262" s="1193"/>
      <c r="AJ262" s="1194"/>
      <c r="AK262" s="1194">
        <f t="shared" si="14"/>
        <v>0</v>
      </c>
      <c r="AL262" s="1195">
        <f t="shared" si="14"/>
        <v>0</v>
      </c>
    </row>
    <row r="263" spans="1:38" hidden="1" outlineLevel="2" x14ac:dyDescent="0.3">
      <c r="A263" s="1188"/>
      <c r="B263" s="1196"/>
      <c r="C263" s="1197"/>
      <c r="D263" s="1198"/>
      <c r="E263" s="1199"/>
      <c r="F263" s="1200"/>
      <c r="G263" s="1200"/>
      <c r="H263" s="1200"/>
      <c r="I263" s="1200"/>
      <c r="J263" s="1200"/>
      <c r="K263" s="1200"/>
      <c r="L263" s="1200"/>
      <c r="M263" s="1200"/>
      <c r="N263" s="1200"/>
      <c r="O263" s="1200"/>
      <c r="P263" s="1200"/>
      <c r="Q263" s="1200"/>
      <c r="R263" s="1200"/>
      <c r="S263" s="1200"/>
      <c r="T263" s="1200"/>
      <c r="U263" s="1200"/>
      <c r="V263" s="1200"/>
      <c r="W263" s="1200"/>
      <c r="X263" s="1200"/>
      <c r="Y263" s="1200"/>
      <c r="Z263" s="1200"/>
      <c r="AA263" s="1200"/>
      <c r="AB263" s="1200"/>
      <c r="AC263" s="1200"/>
      <c r="AD263" s="1200"/>
      <c r="AE263" s="1200"/>
      <c r="AF263" s="1200"/>
      <c r="AG263" s="1200"/>
      <c r="AH263" s="1200"/>
      <c r="AI263" s="1200"/>
      <c r="AJ263" s="1201"/>
      <c r="AK263" s="1201">
        <f t="shared" si="14"/>
        <v>0</v>
      </c>
      <c r="AL263" s="1202">
        <f t="shared" si="14"/>
        <v>0</v>
      </c>
    </row>
    <row r="264" spans="1:38" hidden="1" outlineLevel="2" x14ac:dyDescent="0.3">
      <c r="A264" s="1188"/>
      <c r="B264" s="1196"/>
      <c r="C264" s="1197"/>
      <c r="D264" s="1198"/>
      <c r="E264" s="1199"/>
      <c r="F264" s="1200"/>
      <c r="G264" s="1200"/>
      <c r="H264" s="1200"/>
      <c r="I264" s="1200"/>
      <c r="J264" s="1200"/>
      <c r="K264" s="1200"/>
      <c r="L264" s="1200"/>
      <c r="M264" s="1200"/>
      <c r="N264" s="1200"/>
      <c r="O264" s="1200"/>
      <c r="P264" s="1200"/>
      <c r="Q264" s="1200"/>
      <c r="R264" s="1200"/>
      <c r="S264" s="1200"/>
      <c r="T264" s="1200"/>
      <c r="U264" s="1200"/>
      <c r="V264" s="1200"/>
      <c r="W264" s="1200"/>
      <c r="X264" s="1200"/>
      <c r="Y264" s="1200"/>
      <c r="Z264" s="1200"/>
      <c r="AA264" s="1200"/>
      <c r="AB264" s="1200"/>
      <c r="AC264" s="1200"/>
      <c r="AD264" s="1200"/>
      <c r="AE264" s="1200"/>
      <c r="AF264" s="1200"/>
      <c r="AG264" s="1200"/>
      <c r="AH264" s="1200"/>
      <c r="AI264" s="1200"/>
      <c r="AJ264" s="1201"/>
      <c r="AK264" s="1201">
        <f t="shared" si="14"/>
        <v>0</v>
      </c>
      <c r="AL264" s="1202">
        <f t="shared" si="14"/>
        <v>0</v>
      </c>
    </row>
    <row r="265" spans="1:38" hidden="1" outlineLevel="2" x14ac:dyDescent="0.3">
      <c r="A265" s="1188"/>
      <c r="B265" s="1196"/>
      <c r="C265" s="1197"/>
      <c r="D265" s="1198"/>
      <c r="E265" s="1199"/>
      <c r="F265" s="1200"/>
      <c r="G265" s="1200"/>
      <c r="H265" s="1200"/>
      <c r="I265" s="1200"/>
      <c r="J265" s="1200"/>
      <c r="K265" s="1200"/>
      <c r="L265" s="1200"/>
      <c r="M265" s="1200"/>
      <c r="N265" s="1200"/>
      <c r="O265" s="1200"/>
      <c r="P265" s="1200"/>
      <c r="Q265" s="1200"/>
      <c r="R265" s="1200"/>
      <c r="S265" s="1200"/>
      <c r="T265" s="1200"/>
      <c r="U265" s="1200"/>
      <c r="V265" s="1200"/>
      <c r="W265" s="1200"/>
      <c r="X265" s="1200"/>
      <c r="Y265" s="1200"/>
      <c r="Z265" s="1200"/>
      <c r="AA265" s="1200"/>
      <c r="AB265" s="1200"/>
      <c r="AC265" s="1200"/>
      <c r="AD265" s="1200"/>
      <c r="AE265" s="1200"/>
      <c r="AF265" s="1200"/>
      <c r="AG265" s="1200"/>
      <c r="AH265" s="1200"/>
      <c r="AI265" s="1200"/>
      <c r="AJ265" s="1201"/>
      <c r="AK265" s="1201">
        <f t="shared" si="14"/>
        <v>0</v>
      </c>
      <c r="AL265" s="1202">
        <f t="shared" si="14"/>
        <v>0</v>
      </c>
    </row>
    <row r="266" spans="1:38" hidden="1" outlineLevel="2" x14ac:dyDescent="0.3">
      <c r="A266" s="1188"/>
      <c r="B266" s="1196"/>
      <c r="C266" s="1197"/>
      <c r="D266" s="1198"/>
      <c r="E266" s="1199"/>
      <c r="F266" s="1200"/>
      <c r="G266" s="1200"/>
      <c r="H266" s="1200"/>
      <c r="I266" s="1200"/>
      <c r="J266" s="1200"/>
      <c r="K266" s="1200"/>
      <c r="L266" s="1200"/>
      <c r="M266" s="1200"/>
      <c r="N266" s="1200"/>
      <c r="O266" s="1200"/>
      <c r="P266" s="1200"/>
      <c r="Q266" s="1200"/>
      <c r="R266" s="1200"/>
      <c r="S266" s="1200"/>
      <c r="T266" s="1200"/>
      <c r="U266" s="1200"/>
      <c r="V266" s="1200"/>
      <c r="W266" s="1200"/>
      <c r="X266" s="1200"/>
      <c r="Y266" s="1200"/>
      <c r="Z266" s="1200"/>
      <c r="AA266" s="1200"/>
      <c r="AB266" s="1200"/>
      <c r="AC266" s="1200"/>
      <c r="AD266" s="1200"/>
      <c r="AE266" s="1200"/>
      <c r="AF266" s="1200"/>
      <c r="AG266" s="1200"/>
      <c r="AH266" s="1200"/>
      <c r="AI266" s="1200"/>
      <c r="AJ266" s="1201"/>
      <c r="AK266" s="1201">
        <f t="shared" si="14"/>
        <v>0</v>
      </c>
      <c r="AL266" s="1202">
        <f t="shared" si="14"/>
        <v>0</v>
      </c>
    </row>
    <row r="267" spans="1:38" hidden="1" outlineLevel="2" x14ac:dyDescent="0.3">
      <c r="A267" s="1188"/>
      <c r="B267" s="1196"/>
      <c r="C267" s="1197"/>
      <c r="D267" s="1198"/>
      <c r="E267" s="1199"/>
      <c r="F267" s="1200"/>
      <c r="G267" s="1200"/>
      <c r="H267" s="1200"/>
      <c r="I267" s="1200"/>
      <c r="J267" s="1200"/>
      <c r="K267" s="1200"/>
      <c r="L267" s="1200"/>
      <c r="M267" s="1200"/>
      <c r="N267" s="1200"/>
      <c r="O267" s="1200"/>
      <c r="P267" s="1200"/>
      <c r="Q267" s="1200"/>
      <c r="R267" s="1200"/>
      <c r="S267" s="1200"/>
      <c r="T267" s="1200"/>
      <c r="U267" s="1200"/>
      <c r="V267" s="1200"/>
      <c r="W267" s="1200"/>
      <c r="X267" s="1200"/>
      <c r="Y267" s="1200"/>
      <c r="Z267" s="1200"/>
      <c r="AA267" s="1200"/>
      <c r="AB267" s="1200"/>
      <c r="AC267" s="1200"/>
      <c r="AD267" s="1200"/>
      <c r="AE267" s="1200"/>
      <c r="AF267" s="1200"/>
      <c r="AG267" s="1200"/>
      <c r="AH267" s="1200"/>
      <c r="AI267" s="1200"/>
      <c r="AJ267" s="1201"/>
      <c r="AK267" s="1201">
        <f t="shared" si="14"/>
        <v>0</v>
      </c>
      <c r="AL267" s="1202">
        <f t="shared" si="14"/>
        <v>0</v>
      </c>
    </row>
    <row r="268" spans="1:38" ht="15" outlineLevel="1" collapsed="1" thickBot="1" x14ac:dyDescent="0.35">
      <c r="A268" s="1188"/>
      <c r="B268" s="1203" t="s">
        <v>550</v>
      </c>
      <c r="C268" s="1204"/>
      <c r="D268" s="1205"/>
      <c r="E268" s="1206">
        <f>SUBTOTAL(9,E260:E262)</f>
        <v>0</v>
      </c>
      <c r="F268" s="1207"/>
      <c r="G268" s="1207">
        <f>SUBTOTAL(9,G260:G262)</f>
        <v>0</v>
      </c>
      <c r="H268" s="1207"/>
      <c r="I268" s="1207">
        <f>SUBTOTAL(9,I260:I262)</f>
        <v>0</v>
      </c>
      <c r="J268" s="1207"/>
      <c r="K268" s="1207">
        <f>SUBTOTAL(9,K260:K262)</f>
        <v>0</v>
      </c>
      <c r="L268" s="1207"/>
      <c r="M268" s="1207">
        <f>SUBTOTAL(9,M260:M262)</f>
        <v>0</v>
      </c>
      <c r="N268" s="1207"/>
      <c r="O268" s="1207">
        <f>SUBTOTAL(9,O260:O262)</f>
        <v>0</v>
      </c>
      <c r="P268" s="1207"/>
      <c r="Q268" s="1207">
        <f>SUBTOTAL(9,Q260:Q262)</f>
        <v>0</v>
      </c>
      <c r="R268" s="1207"/>
      <c r="S268" s="1207">
        <f>SUBTOTAL(9,S260:S262)</f>
        <v>0</v>
      </c>
      <c r="T268" s="1207"/>
      <c r="U268" s="1207">
        <f>SUBTOTAL(9,U260:U262)</f>
        <v>0</v>
      </c>
      <c r="V268" s="1207"/>
      <c r="W268" s="1207">
        <f>SUBTOTAL(9,W260:W262)</f>
        <v>0</v>
      </c>
      <c r="X268" s="1207"/>
      <c r="Y268" s="1207">
        <f>SUBTOTAL(9,Y260:Y262)</f>
        <v>0</v>
      </c>
      <c r="Z268" s="1207"/>
      <c r="AA268" s="1207">
        <f>SUBTOTAL(9,AA260:AA262)</f>
        <v>0</v>
      </c>
      <c r="AB268" s="1207"/>
      <c r="AC268" s="1207">
        <f>SUBTOTAL(9,AC260:AC262)</f>
        <v>0</v>
      </c>
      <c r="AD268" s="1207"/>
      <c r="AE268" s="1207">
        <f>SUBTOTAL(9,AE260:AE262)</f>
        <v>0</v>
      </c>
      <c r="AF268" s="1207"/>
      <c r="AG268" s="1207">
        <f>SUBTOTAL(9,AG260:AG262)</f>
        <v>0</v>
      </c>
      <c r="AH268" s="1207"/>
      <c r="AI268" s="1207">
        <f>SUBTOTAL(9,AI260:AI262)</f>
        <v>0</v>
      </c>
      <c r="AJ268" s="1208"/>
      <c r="AK268" s="1208">
        <f t="shared" si="14"/>
        <v>0</v>
      </c>
      <c r="AL268" s="1209">
        <f t="shared" si="14"/>
        <v>0</v>
      </c>
    </row>
    <row r="269" spans="1:38" x14ac:dyDescent="0.3">
      <c r="A269" s="98"/>
      <c r="B269" s="660"/>
      <c r="C269" s="660"/>
      <c r="D269" s="660"/>
      <c r="E269" s="941">
        <f>SUM(E268,E259,E248)</f>
        <v>0</v>
      </c>
      <c r="F269" s="941"/>
      <c r="G269" s="941">
        <f>SUM(G268,G259,G248)</f>
        <v>0</v>
      </c>
      <c r="H269" s="941"/>
      <c r="I269" s="941">
        <f>SUM(I268,I259,I248)</f>
        <v>0</v>
      </c>
      <c r="J269" s="941"/>
      <c r="K269" s="941">
        <v>9600</v>
      </c>
      <c r="L269" s="941"/>
      <c r="M269" s="941">
        <f>SUM(M268,M259,M248)</f>
        <v>0</v>
      </c>
      <c r="N269" s="941"/>
      <c r="O269" s="941">
        <f>SUM(O268,O259,O248)</f>
        <v>0</v>
      </c>
      <c r="P269" s="941"/>
      <c r="Q269" s="941">
        <f>SUM(Q268,Q259,Q248)</f>
        <v>0</v>
      </c>
      <c r="R269" s="941"/>
      <c r="S269" s="941">
        <f>SUM(S268,S259,S248)</f>
        <v>0</v>
      </c>
      <c r="T269" s="941"/>
      <c r="U269" s="941">
        <f>SUM(U268,U259,U248)</f>
        <v>0</v>
      </c>
      <c r="V269" s="941"/>
      <c r="W269" s="941">
        <f>SUM(W268,W259,W248)</f>
        <v>0</v>
      </c>
      <c r="X269" s="941"/>
      <c r="Y269" s="941">
        <f>SUM(Y268,Y259,Y248)</f>
        <v>0</v>
      </c>
      <c r="Z269" s="941"/>
      <c r="AA269" s="941">
        <f>SUM(AA268,AA259,AA248)</f>
        <v>0</v>
      </c>
      <c r="AB269" s="941"/>
      <c r="AC269" s="941">
        <f>SUM(AC268,AC259,AC248)</f>
        <v>0</v>
      </c>
      <c r="AD269" s="941"/>
      <c r="AE269" s="941">
        <f>SUM(AE268,AE259,AE248)</f>
        <v>0</v>
      </c>
      <c r="AF269" s="941"/>
      <c r="AG269" s="941">
        <f>SUM(AG268,AG259,AG248)</f>
        <v>0</v>
      </c>
      <c r="AH269" s="941"/>
      <c r="AI269" s="941">
        <f>SUM(AI268,AI259,AI248)</f>
        <v>0</v>
      </c>
      <c r="AJ269" s="941"/>
      <c r="AK269" s="941"/>
      <c r="AL269" s="941">
        <f>SUM(K269:AI269)-SUM(E269:I269)</f>
        <v>9600</v>
      </c>
    </row>
    <row r="271" spans="1:38" ht="18" x14ac:dyDescent="0.3">
      <c r="A271" s="1110" t="s">
        <v>1469</v>
      </c>
      <c r="B271" s="1111"/>
      <c r="C271" s="1111"/>
      <c r="D271" s="1111"/>
      <c r="E271" s="1112"/>
      <c r="F271" s="1112"/>
      <c r="G271" s="660"/>
      <c r="H271" s="660"/>
      <c r="I271" s="660"/>
      <c r="J271" s="660"/>
      <c r="K271" s="660"/>
      <c r="L271" s="660"/>
      <c r="M271" s="660"/>
      <c r="N271" s="660"/>
      <c r="O271" s="660"/>
      <c r="P271" s="660"/>
      <c r="Q271" s="660"/>
      <c r="R271" s="660"/>
      <c r="S271" s="660"/>
      <c r="T271" s="660"/>
      <c r="U271" s="660"/>
      <c r="V271" s="660"/>
      <c r="W271" s="660"/>
      <c r="X271" s="660"/>
      <c r="Y271" s="660"/>
      <c r="Z271" s="660"/>
      <c r="AA271" s="660"/>
      <c r="AB271" s="660"/>
      <c r="AC271" s="660"/>
      <c r="AD271" s="660"/>
      <c r="AE271" s="660"/>
      <c r="AF271" s="660"/>
      <c r="AG271" s="660"/>
      <c r="AH271" s="660"/>
      <c r="AI271" s="660"/>
      <c r="AJ271" s="660"/>
      <c r="AK271" s="660"/>
    </row>
    <row r="272" spans="1:38" ht="15" thickBot="1" x14ac:dyDescent="0.35">
      <c r="A272" s="39"/>
      <c r="B272" s="1113"/>
      <c r="C272" s="1113"/>
      <c r="D272" s="1114" t="s">
        <v>1407</v>
      </c>
      <c r="E272" s="1115" t="s">
        <v>69</v>
      </c>
      <c r="F272" s="1116" t="s">
        <v>8</v>
      </c>
      <c r="G272" s="1115" t="s">
        <v>83</v>
      </c>
      <c r="H272" s="1116" t="s">
        <v>8</v>
      </c>
      <c r="I272" s="1115" t="s">
        <v>90</v>
      </c>
      <c r="J272" s="1116" t="s">
        <v>8</v>
      </c>
      <c r="K272" s="1117" t="s">
        <v>134</v>
      </c>
      <c r="L272" s="1118" t="s">
        <v>8</v>
      </c>
      <c r="M272" s="1117" t="s">
        <v>136</v>
      </c>
      <c r="N272" s="1118" t="s">
        <v>8</v>
      </c>
      <c r="O272" s="1117" t="s">
        <v>728</v>
      </c>
      <c r="P272" s="1118" t="s">
        <v>8</v>
      </c>
      <c r="Q272" s="1117" t="s">
        <v>266</v>
      </c>
      <c r="R272" s="1118" t="s">
        <v>8</v>
      </c>
      <c r="S272" s="1117" t="s">
        <v>292</v>
      </c>
      <c r="T272" s="1118" t="s">
        <v>8</v>
      </c>
      <c r="U272" s="1117" t="s">
        <v>335</v>
      </c>
      <c r="V272" s="1118" t="s">
        <v>8</v>
      </c>
      <c r="W272" s="1117" t="s">
        <v>346</v>
      </c>
      <c r="X272" s="1118" t="s">
        <v>8</v>
      </c>
      <c r="Y272" s="1117" t="s">
        <v>357</v>
      </c>
      <c r="Z272" s="1118" t="s">
        <v>8</v>
      </c>
      <c r="AA272" s="1117" t="s">
        <v>364</v>
      </c>
      <c r="AB272" s="1118" t="s">
        <v>8</v>
      </c>
      <c r="AC272" s="1117" t="s">
        <v>376</v>
      </c>
      <c r="AD272" s="1118" t="s">
        <v>8</v>
      </c>
      <c r="AE272" s="1117" t="s">
        <v>386</v>
      </c>
      <c r="AF272" s="1118" t="s">
        <v>8</v>
      </c>
      <c r="AG272" s="1117" t="s">
        <v>398</v>
      </c>
      <c r="AH272" s="1118" t="s">
        <v>8</v>
      </c>
      <c r="AI272" s="1117" t="s">
        <v>424</v>
      </c>
      <c r="AJ272" s="1119" t="s">
        <v>8</v>
      </c>
      <c r="AK272" s="1120" t="s">
        <v>1404</v>
      </c>
      <c r="AL272" s="1121" t="s">
        <v>1405</v>
      </c>
    </row>
    <row r="273" spans="1:38" ht="18" outlineLevel="1" x14ac:dyDescent="0.35">
      <c r="A273" s="1122" t="s">
        <v>1223</v>
      </c>
      <c r="B273" s="1123" t="s">
        <v>625</v>
      </c>
      <c r="C273" s="1124" t="s">
        <v>1408</v>
      </c>
      <c r="D273" s="1125" t="s">
        <v>1409</v>
      </c>
      <c r="E273" s="1126"/>
      <c r="F273" s="1127"/>
      <c r="G273" s="1127"/>
      <c r="H273" s="1127"/>
      <c r="I273" s="1127"/>
      <c r="J273" s="1127"/>
      <c r="K273" s="1127"/>
      <c r="L273" s="1127"/>
      <c r="M273" s="1127"/>
      <c r="N273" s="1127"/>
      <c r="O273" s="1127"/>
      <c r="P273" s="1127"/>
      <c r="Q273" s="1127"/>
      <c r="R273" s="1127"/>
      <c r="S273" s="1127"/>
      <c r="T273" s="1127"/>
      <c r="U273" s="1127"/>
      <c r="V273" s="1127"/>
      <c r="W273" s="1127"/>
      <c r="X273" s="1127"/>
      <c r="Y273" s="1127"/>
      <c r="Z273" s="1127"/>
      <c r="AA273" s="1127"/>
      <c r="AB273" s="1127"/>
      <c r="AC273" s="1127"/>
      <c r="AD273" s="1127"/>
      <c r="AE273" s="1127"/>
      <c r="AF273" s="1127"/>
      <c r="AG273" s="1127"/>
      <c r="AH273" s="1127"/>
      <c r="AI273" s="1127"/>
      <c r="AJ273" s="1128"/>
      <c r="AK273" s="1128"/>
      <c r="AL273" s="1129"/>
    </row>
    <row r="274" spans="1:38" hidden="1" outlineLevel="2" x14ac:dyDescent="0.3">
      <c r="A274" s="1130"/>
      <c r="B274" s="1131"/>
      <c r="C274" s="1132"/>
      <c r="D274" s="1133"/>
      <c r="E274" s="1134"/>
      <c r="F274" s="1135"/>
      <c r="G274" s="1135"/>
      <c r="H274" s="1135"/>
      <c r="I274" s="1135"/>
      <c r="J274" s="1135"/>
      <c r="K274" s="1135"/>
      <c r="L274" s="1135"/>
      <c r="M274" s="1135"/>
      <c r="N274" s="1135"/>
      <c r="O274" s="1135"/>
      <c r="P274" s="1135"/>
      <c r="Q274" s="1135"/>
      <c r="R274" s="1135"/>
      <c r="S274" s="1135"/>
      <c r="T274" s="1135"/>
      <c r="U274" s="1135"/>
      <c r="V274" s="1135"/>
      <c r="W274" s="1135"/>
      <c r="X274" s="1135"/>
      <c r="Y274" s="1135"/>
      <c r="Z274" s="1135"/>
      <c r="AA274" s="1135"/>
      <c r="AB274" s="1135"/>
      <c r="AC274" s="1135"/>
      <c r="AD274" s="1135"/>
      <c r="AE274" s="1135"/>
      <c r="AF274" s="1135"/>
      <c r="AG274" s="1135"/>
      <c r="AH274" s="1135"/>
      <c r="AI274" s="1135"/>
      <c r="AJ274" s="1136"/>
      <c r="AK274" s="1136"/>
      <c r="AL274" s="1137"/>
    </row>
    <row r="275" spans="1:38" hidden="1" outlineLevel="2" x14ac:dyDescent="0.3">
      <c r="A275" s="1130"/>
      <c r="B275" s="1131"/>
      <c r="C275" s="1132"/>
      <c r="D275" s="1133"/>
      <c r="E275" s="1134"/>
      <c r="F275" s="1135"/>
      <c r="G275" s="1135"/>
      <c r="H275" s="1135"/>
      <c r="I275" s="1135"/>
      <c r="J275" s="1135"/>
      <c r="K275" s="1135"/>
      <c r="L275" s="1135"/>
      <c r="M275" s="1135"/>
      <c r="N275" s="1135"/>
      <c r="O275" s="1135"/>
      <c r="P275" s="1135"/>
      <c r="Q275" s="1135"/>
      <c r="R275" s="1135"/>
      <c r="S275" s="1135"/>
      <c r="T275" s="1135"/>
      <c r="U275" s="1135"/>
      <c r="V275" s="1135"/>
      <c r="W275" s="1135"/>
      <c r="X275" s="1135"/>
      <c r="Y275" s="1135"/>
      <c r="Z275" s="1135"/>
      <c r="AA275" s="1135"/>
      <c r="AB275" s="1135"/>
      <c r="AC275" s="1135"/>
      <c r="AD275" s="1135"/>
      <c r="AE275" s="1135"/>
      <c r="AF275" s="1135"/>
      <c r="AG275" s="1135"/>
      <c r="AH275" s="1135"/>
      <c r="AI275" s="1135"/>
      <c r="AJ275" s="1136"/>
      <c r="AK275" s="1137">
        <f t="shared" ref="AK275:AL306" si="17">SUM(E275,G275,I275)-SUM(K275,M275,O275,Q275,S275,U275,W275,Y275,AA275,AC275,AE275,AG275,AI275)</f>
        <v>0</v>
      </c>
      <c r="AL275" s="1137">
        <f t="shared" si="17"/>
        <v>0</v>
      </c>
    </row>
    <row r="276" spans="1:38" hidden="1" outlineLevel="2" x14ac:dyDescent="0.3">
      <c r="A276" s="1130"/>
      <c r="B276" s="1131"/>
      <c r="C276" s="1132"/>
      <c r="D276" s="1133"/>
      <c r="E276" s="1134"/>
      <c r="F276" s="1135"/>
      <c r="G276" s="1135"/>
      <c r="H276" s="1135"/>
      <c r="I276" s="1135"/>
      <c r="J276" s="1135"/>
      <c r="K276" s="1135"/>
      <c r="L276" s="1135"/>
      <c r="M276" s="1135"/>
      <c r="N276" s="1135"/>
      <c r="O276" s="1135"/>
      <c r="P276" s="1135"/>
      <c r="Q276" s="1135"/>
      <c r="R276" s="1135"/>
      <c r="S276" s="1135"/>
      <c r="T276" s="1135"/>
      <c r="U276" s="1135"/>
      <c r="V276" s="1135"/>
      <c r="W276" s="1135"/>
      <c r="X276" s="1135"/>
      <c r="Y276" s="1135"/>
      <c r="Z276" s="1135"/>
      <c r="AA276" s="1135"/>
      <c r="AB276" s="1135"/>
      <c r="AC276" s="1135"/>
      <c r="AD276" s="1135"/>
      <c r="AE276" s="1135"/>
      <c r="AF276" s="1135"/>
      <c r="AG276" s="1135"/>
      <c r="AH276" s="1135"/>
      <c r="AI276" s="1135"/>
      <c r="AJ276" s="1136"/>
      <c r="AK276" s="1137">
        <f t="shared" si="17"/>
        <v>0</v>
      </c>
      <c r="AL276" s="1137">
        <f t="shared" si="17"/>
        <v>0</v>
      </c>
    </row>
    <row r="277" spans="1:38" hidden="1" outlineLevel="2" x14ac:dyDescent="0.3">
      <c r="A277" s="1130"/>
      <c r="B277" s="1138"/>
      <c r="C277" s="1139"/>
      <c r="D277" s="1140"/>
      <c r="E277" s="1134"/>
      <c r="F277" s="1141"/>
      <c r="G277" s="1141"/>
      <c r="H277" s="1141"/>
      <c r="I277" s="1141"/>
      <c r="J277" s="1141"/>
      <c r="K277" s="1135"/>
      <c r="L277" s="1141"/>
      <c r="M277" s="1141"/>
      <c r="N277" s="1141"/>
      <c r="O277" s="1141"/>
      <c r="P277" s="1141"/>
      <c r="Q277" s="1141"/>
      <c r="R277" s="1141"/>
      <c r="S277" s="1141"/>
      <c r="T277" s="1141"/>
      <c r="U277" s="1135"/>
      <c r="V277" s="1141"/>
      <c r="W277" s="1141"/>
      <c r="X277" s="1141"/>
      <c r="Y277" s="1141"/>
      <c r="Z277" s="1141"/>
      <c r="AA277" s="1141"/>
      <c r="AB277" s="1141"/>
      <c r="AC277" s="1141"/>
      <c r="AD277" s="1141"/>
      <c r="AE277" s="1135"/>
      <c r="AF277" s="1141"/>
      <c r="AG277" s="1135"/>
      <c r="AH277" s="1141"/>
      <c r="AI277" s="1141"/>
      <c r="AJ277" s="1142"/>
      <c r="AK277" s="1137">
        <f t="shared" si="17"/>
        <v>0</v>
      </c>
      <c r="AL277" s="1137">
        <f t="shared" si="17"/>
        <v>0</v>
      </c>
    </row>
    <row r="278" spans="1:38" hidden="1" outlineLevel="2" x14ac:dyDescent="0.3">
      <c r="A278" s="1130"/>
      <c r="B278" s="1138"/>
      <c r="C278" s="1139"/>
      <c r="D278" s="1140"/>
      <c r="E278" s="1134"/>
      <c r="F278" s="1141"/>
      <c r="G278" s="1141"/>
      <c r="H278" s="1141"/>
      <c r="I278" s="1141"/>
      <c r="J278" s="1141"/>
      <c r="K278" s="1135"/>
      <c r="L278" s="1141"/>
      <c r="M278" s="1141"/>
      <c r="N278" s="1141"/>
      <c r="O278" s="1141"/>
      <c r="P278" s="1141"/>
      <c r="Q278" s="1141"/>
      <c r="R278" s="1141"/>
      <c r="S278" s="1141"/>
      <c r="T278" s="1141"/>
      <c r="U278" s="1135"/>
      <c r="V278" s="1141"/>
      <c r="W278" s="1141"/>
      <c r="X278" s="1141"/>
      <c r="Y278" s="1141"/>
      <c r="Z278" s="1141"/>
      <c r="AA278" s="1141"/>
      <c r="AB278" s="1141"/>
      <c r="AC278" s="1141"/>
      <c r="AD278" s="1141"/>
      <c r="AE278" s="1135"/>
      <c r="AF278" s="1141"/>
      <c r="AG278" s="1135"/>
      <c r="AH278" s="1141"/>
      <c r="AI278" s="1141"/>
      <c r="AJ278" s="1142"/>
      <c r="AK278" s="1137">
        <f t="shared" si="17"/>
        <v>0</v>
      </c>
      <c r="AL278" s="1137">
        <f t="shared" si="17"/>
        <v>0</v>
      </c>
    </row>
    <row r="279" spans="1:38" hidden="1" outlineLevel="2" x14ac:dyDescent="0.3">
      <c r="A279" s="1130"/>
      <c r="B279" s="1138"/>
      <c r="C279" s="1139"/>
      <c r="D279" s="1140"/>
      <c r="E279" s="1134"/>
      <c r="F279" s="1141"/>
      <c r="G279" s="1141"/>
      <c r="H279" s="1141"/>
      <c r="I279" s="1141"/>
      <c r="J279" s="1141"/>
      <c r="K279" s="1135"/>
      <c r="L279" s="1141"/>
      <c r="M279" s="1141"/>
      <c r="N279" s="1141"/>
      <c r="O279" s="1141"/>
      <c r="P279" s="1141"/>
      <c r="Q279" s="1141"/>
      <c r="R279" s="1141"/>
      <c r="S279" s="1141"/>
      <c r="T279" s="1141"/>
      <c r="U279" s="1135"/>
      <c r="V279" s="1141"/>
      <c r="W279" s="1141"/>
      <c r="X279" s="1141"/>
      <c r="Y279" s="1141"/>
      <c r="Z279" s="1141"/>
      <c r="AA279" s="1141"/>
      <c r="AB279" s="1141"/>
      <c r="AC279" s="1141"/>
      <c r="AD279" s="1141"/>
      <c r="AE279" s="1135"/>
      <c r="AF279" s="1141"/>
      <c r="AG279" s="1135"/>
      <c r="AH279" s="1141"/>
      <c r="AI279" s="1141"/>
      <c r="AJ279" s="1142"/>
      <c r="AK279" s="1137">
        <f t="shared" si="17"/>
        <v>0</v>
      </c>
      <c r="AL279" s="1137">
        <f t="shared" si="17"/>
        <v>0</v>
      </c>
    </row>
    <row r="280" spans="1:38" hidden="1" outlineLevel="2" x14ac:dyDescent="0.3">
      <c r="A280" s="1130"/>
      <c r="B280" s="1138"/>
      <c r="C280" s="1139"/>
      <c r="D280" s="1140"/>
      <c r="E280" s="1134"/>
      <c r="F280" s="1141"/>
      <c r="G280" s="1141"/>
      <c r="H280" s="1141"/>
      <c r="I280" s="1141"/>
      <c r="J280" s="1141"/>
      <c r="K280" s="1135"/>
      <c r="L280" s="1141"/>
      <c r="M280" s="1141"/>
      <c r="N280" s="1141"/>
      <c r="O280" s="1141"/>
      <c r="P280" s="1141"/>
      <c r="Q280" s="1141"/>
      <c r="R280" s="1141"/>
      <c r="S280" s="1141"/>
      <c r="T280" s="1141"/>
      <c r="U280" s="1135"/>
      <c r="V280" s="1141"/>
      <c r="W280" s="1141"/>
      <c r="X280" s="1141"/>
      <c r="Y280" s="1141"/>
      <c r="Z280" s="1141"/>
      <c r="AA280" s="1141"/>
      <c r="AB280" s="1141"/>
      <c r="AC280" s="1141"/>
      <c r="AD280" s="1141"/>
      <c r="AE280" s="1135"/>
      <c r="AF280" s="1141"/>
      <c r="AG280" s="1135"/>
      <c r="AH280" s="1141"/>
      <c r="AI280" s="1141"/>
      <c r="AJ280" s="1142"/>
      <c r="AK280" s="1137">
        <f t="shared" si="17"/>
        <v>0</v>
      </c>
      <c r="AL280" s="1137">
        <f t="shared" si="17"/>
        <v>0</v>
      </c>
    </row>
    <row r="281" spans="1:38" hidden="1" outlineLevel="2" x14ac:dyDescent="0.3">
      <c r="A281" s="1130"/>
      <c r="B281" s="1138"/>
      <c r="C281" s="1139"/>
      <c r="D281" s="1140"/>
      <c r="E281" s="1134"/>
      <c r="F281" s="1141"/>
      <c r="G281" s="1141"/>
      <c r="H281" s="1141"/>
      <c r="I281" s="1141"/>
      <c r="J281" s="1141"/>
      <c r="K281" s="1135"/>
      <c r="L281" s="1141"/>
      <c r="M281" s="1141"/>
      <c r="N281" s="1141"/>
      <c r="O281" s="1141"/>
      <c r="P281" s="1141"/>
      <c r="Q281" s="1141"/>
      <c r="R281" s="1141"/>
      <c r="S281" s="1141"/>
      <c r="T281" s="1141"/>
      <c r="U281" s="1135"/>
      <c r="V281" s="1141"/>
      <c r="W281" s="1141"/>
      <c r="X281" s="1141"/>
      <c r="Y281" s="1141"/>
      <c r="Z281" s="1141"/>
      <c r="AA281" s="1141"/>
      <c r="AB281" s="1141"/>
      <c r="AC281" s="1141"/>
      <c r="AD281" s="1141"/>
      <c r="AE281" s="1135"/>
      <c r="AF281" s="1141"/>
      <c r="AG281" s="1135"/>
      <c r="AH281" s="1141"/>
      <c r="AI281" s="1141"/>
      <c r="AJ281" s="1142"/>
      <c r="AK281" s="1137">
        <f t="shared" si="17"/>
        <v>0</v>
      </c>
      <c r="AL281" s="1137">
        <f t="shared" si="17"/>
        <v>0</v>
      </c>
    </row>
    <row r="282" spans="1:38" hidden="1" outlineLevel="2" x14ac:dyDescent="0.3">
      <c r="A282" s="1130"/>
      <c r="B282" s="1138"/>
      <c r="C282" s="1139"/>
      <c r="D282" s="1140"/>
      <c r="E282" s="1134"/>
      <c r="F282" s="1141"/>
      <c r="G282" s="1141"/>
      <c r="H282" s="1141"/>
      <c r="I282" s="1141"/>
      <c r="J282" s="1141"/>
      <c r="K282" s="1135"/>
      <c r="L282" s="1141"/>
      <c r="M282" s="1141"/>
      <c r="N282" s="1141"/>
      <c r="O282" s="1141"/>
      <c r="P282" s="1141"/>
      <c r="Q282" s="1141"/>
      <c r="R282" s="1141"/>
      <c r="S282" s="1141"/>
      <c r="T282" s="1141"/>
      <c r="U282" s="1135"/>
      <c r="V282" s="1141"/>
      <c r="W282" s="1141"/>
      <c r="X282" s="1141"/>
      <c r="Y282" s="1141"/>
      <c r="Z282" s="1141"/>
      <c r="AA282" s="1141"/>
      <c r="AB282" s="1141"/>
      <c r="AC282" s="1141"/>
      <c r="AD282" s="1141"/>
      <c r="AE282" s="1135"/>
      <c r="AF282" s="1141"/>
      <c r="AG282" s="1135"/>
      <c r="AH282" s="1141"/>
      <c r="AI282" s="1141"/>
      <c r="AJ282" s="1142"/>
      <c r="AK282" s="1137">
        <f t="shared" si="17"/>
        <v>0</v>
      </c>
      <c r="AL282" s="1137">
        <f t="shared" si="17"/>
        <v>0</v>
      </c>
    </row>
    <row r="283" spans="1:38" hidden="1" outlineLevel="2" x14ac:dyDescent="0.3">
      <c r="A283" s="1130"/>
      <c r="B283" s="1138"/>
      <c r="C283" s="1139"/>
      <c r="D283" s="1140"/>
      <c r="E283" s="1134"/>
      <c r="F283" s="1141"/>
      <c r="G283" s="1141"/>
      <c r="H283" s="1141"/>
      <c r="I283" s="1141"/>
      <c r="J283" s="1141"/>
      <c r="K283" s="1135"/>
      <c r="L283" s="1141"/>
      <c r="M283" s="1141"/>
      <c r="N283" s="1141"/>
      <c r="O283" s="1141"/>
      <c r="P283" s="1141"/>
      <c r="Q283" s="1141"/>
      <c r="R283" s="1141"/>
      <c r="S283" s="1141"/>
      <c r="T283" s="1141"/>
      <c r="U283" s="1135"/>
      <c r="V283" s="1141"/>
      <c r="W283" s="1141"/>
      <c r="X283" s="1141"/>
      <c r="Y283" s="1141"/>
      <c r="Z283" s="1141"/>
      <c r="AA283" s="1141"/>
      <c r="AB283" s="1141"/>
      <c r="AC283" s="1141"/>
      <c r="AD283" s="1141"/>
      <c r="AE283" s="1135"/>
      <c r="AF283" s="1141"/>
      <c r="AG283" s="1135"/>
      <c r="AH283" s="1141"/>
      <c r="AI283" s="1141"/>
      <c r="AJ283" s="1142"/>
      <c r="AK283" s="1137">
        <f t="shared" si="17"/>
        <v>0</v>
      </c>
      <c r="AL283" s="1137">
        <f t="shared" si="17"/>
        <v>0</v>
      </c>
    </row>
    <row r="284" spans="1:38" hidden="1" outlineLevel="2" x14ac:dyDescent="0.3">
      <c r="A284" s="1130"/>
      <c r="B284" s="1138"/>
      <c r="C284" s="1139"/>
      <c r="D284" s="1140"/>
      <c r="E284" s="1134"/>
      <c r="F284" s="1141"/>
      <c r="G284" s="1141"/>
      <c r="H284" s="1141"/>
      <c r="I284" s="1141"/>
      <c r="J284" s="1141"/>
      <c r="K284" s="1135"/>
      <c r="L284" s="1141"/>
      <c r="M284" s="1141"/>
      <c r="N284" s="1141"/>
      <c r="O284" s="1141"/>
      <c r="P284" s="1141"/>
      <c r="Q284" s="1141"/>
      <c r="R284" s="1141"/>
      <c r="S284" s="1141"/>
      <c r="T284" s="1141"/>
      <c r="U284" s="1135"/>
      <c r="V284" s="1141"/>
      <c r="W284" s="1141"/>
      <c r="X284" s="1141"/>
      <c r="Y284" s="1141"/>
      <c r="Z284" s="1141"/>
      <c r="AA284" s="1141"/>
      <c r="AB284" s="1141"/>
      <c r="AC284" s="1141"/>
      <c r="AD284" s="1141"/>
      <c r="AE284" s="1135"/>
      <c r="AF284" s="1141"/>
      <c r="AG284" s="1135"/>
      <c r="AH284" s="1141"/>
      <c r="AI284" s="1141"/>
      <c r="AJ284" s="1142"/>
      <c r="AK284" s="1137">
        <f t="shared" si="17"/>
        <v>0</v>
      </c>
      <c r="AL284" s="1137">
        <f t="shared" si="17"/>
        <v>0</v>
      </c>
    </row>
    <row r="285" spans="1:38" hidden="1" outlineLevel="2" x14ac:dyDescent="0.3">
      <c r="A285" s="1130"/>
      <c r="B285" s="1138"/>
      <c r="C285" s="1139"/>
      <c r="D285" s="1140"/>
      <c r="E285" s="1134"/>
      <c r="F285" s="1141"/>
      <c r="G285" s="1141"/>
      <c r="H285" s="1141"/>
      <c r="I285" s="1141"/>
      <c r="J285" s="1141"/>
      <c r="K285" s="1135"/>
      <c r="L285" s="1141"/>
      <c r="M285" s="1141"/>
      <c r="N285" s="1141"/>
      <c r="O285" s="1141"/>
      <c r="P285" s="1141"/>
      <c r="Q285" s="1141"/>
      <c r="R285" s="1141"/>
      <c r="S285" s="1141"/>
      <c r="T285" s="1141"/>
      <c r="U285" s="1135"/>
      <c r="V285" s="1141"/>
      <c r="W285" s="1141"/>
      <c r="X285" s="1141"/>
      <c r="Y285" s="1141"/>
      <c r="Z285" s="1141"/>
      <c r="AA285" s="1141"/>
      <c r="AB285" s="1141"/>
      <c r="AC285" s="1141"/>
      <c r="AD285" s="1141"/>
      <c r="AE285" s="1135"/>
      <c r="AF285" s="1141"/>
      <c r="AG285" s="1135"/>
      <c r="AH285" s="1141"/>
      <c r="AI285" s="1141"/>
      <c r="AJ285" s="1142"/>
      <c r="AK285" s="1137">
        <f t="shared" si="17"/>
        <v>0</v>
      </c>
      <c r="AL285" s="1137">
        <f t="shared" si="17"/>
        <v>0</v>
      </c>
    </row>
    <row r="286" spans="1:38" hidden="1" outlineLevel="2" x14ac:dyDescent="0.3">
      <c r="A286" s="1130"/>
      <c r="B286" s="1138"/>
      <c r="C286" s="1139"/>
      <c r="D286" s="1140"/>
      <c r="E286" s="1134"/>
      <c r="F286" s="1141"/>
      <c r="G286" s="1141"/>
      <c r="H286" s="1141"/>
      <c r="I286" s="1141"/>
      <c r="J286" s="1141"/>
      <c r="K286" s="1135"/>
      <c r="L286" s="1141"/>
      <c r="M286" s="1141"/>
      <c r="N286" s="1141"/>
      <c r="O286" s="1141"/>
      <c r="P286" s="1141"/>
      <c r="Q286" s="1141"/>
      <c r="R286" s="1141"/>
      <c r="S286" s="1141"/>
      <c r="T286" s="1141"/>
      <c r="U286" s="1135"/>
      <c r="V286" s="1141"/>
      <c r="W286" s="1141"/>
      <c r="X286" s="1141"/>
      <c r="Y286" s="1141"/>
      <c r="Z286" s="1141"/>
      <c r="AA286" s="1141"/>
      <c r="AB286" s="1141"/>
      <c r="AC286" s="1141"/>
      <c r="AD286" s="1141"/>
      <c r="AE286" s="1135"/>
      <c r="AF286" s="1141"/>
      <c r="AG286" s="1135"/>
      <c r="AH286" s="1141"/>
      <c r="AI286" s="1141"/>
      <c r="AJ286" s="1142"/>
      <c r="AK286" s="1137">
        <f t="shared" si="17"/>
        <v>0</v>
      </c>
      <c r="AL286" s="1137">
        <f t="shared" si="17"/>
        <v>0</v>
      </c>
    </row>
    <row r="287" spans="1:38" hidden="1" outlineLevel="2" x14ac:dyDescent="0.3">
      <c r="A287" s="1130"/>
      <c r="B287" s="1138"/>
      <c r="C287" s="1139"/>
      <c r="D287" s="1140"/>
      <c r="E287" s="1134"/>
      <c r="F287" s="1141"/>
      <c r="G287" s="1141"/>
      <c r="H287" s="1141"/>
      <c r="I287" s="1141"/>
      <c r="J287" s="1141"/>
      <c r="K287" s="1135"/>
      <c r="L287" s="1141"/>
      <c r="M287" s="1141"/>
      <c r="N287" s="1141"/>
      <c r="O287" s="1141"/>
      <c r="P287" s="1141"/>
      <c r="Q287" s="1141"/>
      <c r="R287" s="1141"/>
      <c r="S287" s="1141"/>
      <c r="T287" s="1141"/>
      <c r="U287" s="1135"/>
      <c r="V287" s="1141"/>
      <c r="W287" s="1141"/>
      <c r="X287" s="1141"/>
      <c r="Y287" s="1141"/>
      <c r="Z287" s="1141"/>
      <c r="AA287" s="1141"/>
      <c r="AB287" s="1141"/>
      <c r="AC287" s="1141"/>
      <c r="AD287" s="1141"/>
      <c r="AE287" s="1135"/>
      <c r="AF287" s="1141"/>
      <c r="AG287" s="1135"/>
      <c r="AH287" s="1141"/>
      <c r="AI287" s="1141"/>
      <c r="AJ287" s="1142"/>
      <c r="AK287" s="1137">
        <f t="shared" si="17"/>
        <v>0</v>
      </c>
      <c r="AL287" s="1137">
        <f t="shared" si="17"/>
        <v>0</v>
      </c>
    </row>
    <row r="288" spans="1:38" hidden="1" outlineLevel="2" x14ac:dyDescent="0.3">
      <c r="A288" s="1130"/>
      <c r="B288" s="1138"/>
      <c r="C288" s="1139"/>
      <c r="D288" s="1140"/>
      <c r="E288" s="1134"/>
      <c r="F288" s="1141"/>
      <c r="G288" s="1141"/>
      <c r="H288" s="1141"/>
      <c r="I288" s="1141"/>
      <c r="J288" s="1141"/>
      <c r="K288" s="1135"/>
      <c r="L288" s="1141"/>
      <c r="M288" s="1141"/>
      <c r="N288" s="1141"/>
      <c r="O288" s="1141"/>
      <c r="P288" s="1141"/>
      <c r="Q288" s="1141"/>
      <c r="R288" s="1141"/>
      <c r="S288" s="1141"/>
      <c r="T288" s="1141"/>
      <c r="U288" s="1135"/>
      <c r="V288" s="1141"/>
      <c r="W288" s="1141"/>
      <c r="X288" s="1141"/>
      <c r="Y288" s="1141"/>
      <c r="Z288" s="1141"/>
      <c r="AA288" s="1141"/>
      <c r="AB288" s="1141"/>
      <c r="AC288" s="1141"/>
      <c r="AD288" s="1141"/>
      <c r="AE288" s="1135"/>
      <c r="AF288" s="1141"/>
      <c r="AG288" s="1135"/>
      <c r="AH288" s="1141"/>
      <c r="AI288" s="1141"/>
      <c r="AJ288" s="1142"/>
      <c r="AK288" s="1137">
        <f t="shared" si="17"/>
        <v>0</v>
      </c>
      <c r="AL288" s="1137">
        <f t="shared" si="17"/>
        <v>0</v>
      </c>
    </row>
    <row r="289" spans="1:38" hidden="1" outlineLevel="2" x14ac:dyDescent="0.3">
      <c r="A289" s="1130"/>
      <c r="B289" s="1138"/>
      <c r="C289" s="1139"/>
      <c r="D289" s="1140"/>
      <c r="E289" s="1134"/>
      <c r="F289" s="1141"/>
      <c r="G289" s="1141"/>
      <c r="H289" s="1141"/>
      <c r="I289" s="1141"/>
      <c r="J289" s="1141"/>
      <c r="K289" s="1135"/>
      <c r="L289" s="1141"/>
      <c r="M289" s="1141"/>
      <c r="N289" s="1141"/>
      <c r="O289" s="1141"/>
      <c r="P289" s="1141"/>
      <c r="Q289" s="1141"/>
      <c r="R289" s="1141"/>
      <c r="S289" s="1141"/>
      <c r="T289" s="1141"/>
      <c r="U289" s="1135"/>
      <c r="V289" s="1141"/>
      <c r="W289" s="1141"/>
      <c r="X289" s="1141"/>
      <c r="Y289" s="1141"/>
      <c r="Z289" s="1141"/>
      <c r="AA289" s="1141"/>
      <c r="AB289" s="1141"/>
      <c r="AC289" s="1141"/>
      <c r="AD289" s="1141"/>
      <c r="AE289" s="1135"/>
      <c r="AF289" s="1141"/>
      <c r="AG289" s="1135"/>
      <c r="AH289" s="1141"/>
      <c r="AI289" s="1141"/>
      <c r="AJ289" s="1142"/>
      <c r="AK289" s="1137">
        <f t="shared" si="17"/>
        <v>0</v>
      </c>
      <c r="AL289" s="1137">
        <f t="shared" si="17"/>
        <v>0</v>
      </c>
    </row>
    <row r="290" spans="1:38" hidden="1" outlineLevel="2" x14ac:dyDescent="0.3">
      <c r="A290" s="1130"/>
      <c r="B290" s="1138"/>
      <c r="C290" s="1139"/>
      <c r="D290" s="1140"/>
      <c r="E290" s="1134"/>
      <c r="F290" s="1141"/>
      <c r="G290" s="1141"/>
      <c r="H290" s="1141"/>
      <c r="I290" s="1141"/>
      <c r="J290" s="1141"/>
      <c r="K290" s="1135"/>
      <c r="L290" s="1141"/>
      <c r="M290" s="1141"/>
      <c r="N290" s="1141"/>
      <c r="O290" s="1141"/>
      <c r="P290" s="1141"/>
      <c r="Q290" s="1141"/>
      <c r="R290" s="1141"/>
      <c r="S290" s="1141"/>
      <c r="T290" s="1141"/>
      <c r="U290" s="1135"/>
      <c r="V290" s="1141"/>
      <c r="W290" s="1141"/>
      <c r="X290" s="1141"/>
      <c r="Y290" s="1141"/>
      <c r="Z290" s="1141"/>
      <c r="AA290" s="1141"/>
      <c r="AB290" s="1141"/>
      <c r="AC290" s="1141"/>
      <c r="AD290" s="1141"/>
      <c r="AE290" s="1135"/>
      <c r="AF290" s="1141"/>
      <c r="AG290" s="1135"/>
      <c r="AH290" s="1141"/>
      <c r="AI290" s="1141"/>
      <c r="AJ290" s="1142"/>
      <c r="AK290" s="1137">
        <f t="shared" si="17"/>
        <v>0</v>
      </c>
      <c r="AL290" s="1137">
        <f t="shared" si="17"/>
        <v>0</v>
      </c>
    </row>
    <row r="291" spans="1:38" hidden="1" outlineLevel="2" x14ac:dyDescent="0.3">
      <c r="A291" s="1130"/>
      <c r="B291" s="1138"/>
      <c r="C291" s="1139"/>
      <c r="D291" s="1140"/>
      <c r="E291" s="1134"/>
      <c r="F291" s="1141"/>
      <c r="G291" s="1141"/>
      <c r="H291" s="1141"/>
      <c r="I291" s="1141"/>
      <c r="J291" s="1141"/>
      <c r="K291" s="1135"/>
      <c r="L291" s="1141"/>
      <c r="M291" s="1141"/>
      <c r="N291" s="1141"/>
      <c r="O291" s="1141"/>
      <c r="P291" s="1141"/>
      <c r="Q291" s="1141"/>
      <c r="R291" s="1141"/>
      <c r="S291" s="1141"/>
      <c r="T291" s="1141"/>
      <c r="U291" s="1135"/>
      <c r="V291" s="1141"/>
      <c r="W291" s="1141"/>
      <c r="X291" s="1141"/>
      <c r="Y291" s="1141"/>
      <c r="Z291" s="1141"/>
      <c r="AA291" s="1141"/>
      <c r="AB291" s="1141"/>
      <c r="AC291" s="1141"/>
      <c r="AD291" s="1141"/>
      <c r="AE291" s="1135"/>
      <c r="AF291" s="1141"/>
      <c r="AG291" s="1135"/>
      <c r="AH291" s="1141"/>
      <c r="AI291" s="1141"/>
      <c r="AJ291" s="1142"/>
      <c r="AK291" s="1137">
        <f t="shared" si="17"/>
        <v>0</v>
      </c>
      <c r="AL291" s="1137">
        <f t="shared" si="17"/>
        <v>0</v>
      </c>
    </row>
    <row r="292" spans="1:38" hidden="1" outlineLevel="2" x14ac:dyDescent="0.3">
      <c r="A292" s="1130"/>
      <c r="B292" s="1138"/>
      <c r="C292" s="1139"/>
      <c r="D292" s="1140"/>
      <c r="E292" s="1134"/>
      <c r="F292" s="1141"/>
      <c r="G292" s="1141"/>
      <c r="H292" s="1141"/>
      <c r="I292" s="1141"/>
      <c r="J292" s="1141"/>
      <c r="K292" s="1135"/>
      <c r="L292" s="1141"/>
      <c r="M292" s="1141"/>
      <c r="N292" s="1141"/>
      <c r="O292" s="1141"/>
      <c r="P292" s="1141"/>
      <c r="Q292" s="1141"/>
      <c r="R292" s="1141"/>
      <c r="S292" s="1141"/>
      <c r="T292" s="1141"/>
      <c r="U292" s="1135"/>
      <c r="V292" s="1141"/>
      <c r="W292" s="1141"/>
      <c r="X292" s="1141"/>
      <c r="Y292" s="1141"/>
      <c r="Z292" s="1141"/>
      <c r="AA292" s="1141"/>
      <c r="AB292" s="1141"/>
      <c r="AC292" s="1141"/>
      <c r="AD292" s="1141"/>
      <c r="AE292" s="1135"/>
      <c r="AF292" s="1141"/>
      <c r="AG292" s="1135"/>
      <c r="AH292" s="1141"/>
      <c r="AI292" s="1141"/>
      <c r="AJ292" s="1142"/>
      <c r="AK292" s="1137">
        <f t="shared" si="17"/>
        <v>0</v>
      </c>
      <c r="AL292" s="1137">
        <f t="shared" si="17"/>
        <v>0</v>
      </c>
    </row>
    <row r="293" spans="1:38" hidden="1" outlineLevel="2" x14ac:dyDescent="0.3">
      <c r="A293" s="1130"/>
      <c r="B293" s="1138"/>
      <c r="C293" s="1139"/>
      <c r="D293" s="1140"/>
      <c r="E293" s="1134"/>
      <c r="F293" s="1141"/>
      <c r="G293" s="1141"/>
      <c r="H293" s="1141"/>
      <c r="I293" s="1141"/>
      <c r="J293" s="1141"/>
      <c r="K293" s="1135"/>
      <c r="L293" s="1141"/>
      <c r="M293" s="1141"/>
      <c r="N293" s="1141"/>
      <c r="O293" s="1141"/>
      <c r="P293" s="1141"/>
      <c r="Q293" s="1141"/>
      <c r="R293" s="1141"/>
      <c r="S293" s="1141"/>
      <c r="T293" s="1141"/>
      <c r="U293" s="1135"/>
      <c r="V293" s="1141"/>
      <c r="W293" s="1141"/>
      <c r="X293" s="1141"/>
      <c r="Y293" s="1141"/>
      <c r="Z293" s="1141"/>
      <c r="AA293" s="1141"/>
      <c r="AB293" s="1141"/>
      <c r="AC293" s="1141"/>
      <c r="AD293" s="1141"/>
      <c r="AE293" s="1135"/>
      <c r="AF293" s="1141"/>
      <c r="AG293" s="1135"/>
      <c r="AH293" s="1141"/>
      <c r="AI293" s="1141"/>
      <c r="AJ293" s="1142"/>
      <c r="AK293" s="1137">
        <f t="shared" si="17"/>
        <v>0</v>
      </c>
      <c r="AL293" s="1137">
        <f t="shared" si="17"/>
        <v>0</v>
      </c>
    </row>
    <row r="294" spans="1:38" hidden="1" outlineLevel="2" x14ac:dyDescent="0.3">
      <c r="A294" s="1130"/>
      <c r="B294" s="1138"/>
      <c r="C294" s="1139"/>
      <c r="D294" s="1140"/>
      <c r="E294" s="1134"/>
      <c r="F294" s="1141"/>
      <c r="G294" s="1141"/>
      <c r="H294" s="1141"/>
      <c r="I294" s="1141"/>
      <c r="J294" s="1141"/>
      <c r="K294" s="1135"/>
      <c r="L294" s="1141"/>
      <c r="M294" s="1141"/>
      <c r="N294" s="1141"/>
      <c r="O294" s="1141"/>
      <c r="P294" s="1141"/>
      <c r="Q294" s="1141"/>
      <c r="R294" s="1141"/>
      <c r="S294" s="1141"/>
      <c r="T294" s="1141"/>
      <c r="U294" s="1135"/>
      <c r="V294" s="1141"/>
      <c r="W294" s="1141"/>
      <c r="X294" s="1141"/>
      <c r="Y294" s="1141"/>
      <c r="Z294" s="1141"/>
      <c r="AA294" s="1141"/>
      <c r="AB294" s="1141"/>
      <c r="AC294" s="1141"/>
      <c r="AD294" s="1141"/>
      <c r="AE294" s="1135"/>
      <c r="AF294" s="1141"/>
      <c r="AG294" s="1135"/>
      <c r="AH294" s="1141"/>
      <c r="AI294" s="1141"/>
      <c r="AJ294" s="1142"/>
      <c r="AK294" s="1137">
        <f t="shared" si="17"/>
        <v>0</v>
      </c>
      <c r="AL294" s="1137">
        <f t="shared" si="17"/>
        <v>0</v>
      </c>
    </row>
    <row r="295" spans="1:38" hidden="1" outlineLevel="2" x14ac:dyDescent="0.3">
      <c r="A295" s="1130"/>
      <c r="B295" s="1138"/>
      <c r="C295" s="1139"/>
      <c r="D295" s="1140"/>
      <c r="E295" s="1134"/>
      <c r="F295" s="1141"/>
      <c r="G295" s="1141"/>
      <c r="H295" s="1141"/>
      <c r="I295" s="1141"/>
      <c r="J295" s="1141"/>
      <c r="K295" s="1135"/>
      <c r="L295" s="1141"/>
      <c r="M295" s="1141"/>
      <c r="N295" s="1141"/>
      <c r="O295" s="1141"/>
      <c r="P295" s="1141"/>
      <c r="Q295" s="1141"/>
      <c r="R295" s="1141"/>
      <c r="S295" s="1141"/>
      <c r="T295" s="1141"/>
      <c r="U295" s="1135"/>
      <c r="V295" s="1141"/>
      <c r="W295" s="1141"/>
      <c r="X295" s="1141"/>
      <c r="Y295" s="1141"/>
      <c r="Z295" s="1141"/>
      <c r="AA295" s="1141"/>
      <c r="AB295" s="1141"/>
      <c r="AC295" s="1141"/>
      <c r="AD295" s="1141"/>
      <c r="AE295" s="1135"/>
      <c r="AF295" s="1141"/>
      <c r="AG295" s="1135"/>
      <c r="AH295" s="1141"/>
      <c r="AI295" s="1141"/>
      <c r="AJ295" s="1142"/>
      <c r="AK295" s="1137">
        <f t="shared" si="17"/>
        <v>0</v>
      </c>
      <c r="AL295" s="1137">
        <f t="shared" si="17"/>
        <v>0</v>
      </c>
    </row>
    <row r="296" spans="1:38" hidden="1" outlineLevel="2" x14ac:dyDescent="0.3">
      <c r="A296" s="1130"/>
      <c r="B296" s="1138"/>
      <c r="C296" s="1139"/>
      <c r="D296" s="1140"/>
      <c r="E296" s="1134"/>
      <c r="F296" s="1141"/>
      <c r="G296" s="1141"/>
      <c r="H296" s="1141"/>
      <c r="I296" s="1141"/>
      <c r="J296" s="1141"/>
      <c r="K296" s="1135"/>
      <c r="L296" s="1141"/>
      <c r="M296" s="1141"/>
      <c r="N296" s="1141"/>
      <c r="O296" s="1141"/>
      <c r="P296" s="1141"/>
      <c r="Q296" s="1141"/>
      <c r="R296" s="1141"/>
      <c r="S296" s="1141"/>
      <c r="T296" s="1141"/>
      <c r="U296" s="1135"/>
      <c r="V296" s="1141"/>
      <c r="W296" s="1141"/>
      <c r="X296" s="1141"/>
      <c r="Y296" s="1141"/>
      <c r="Z296" s="1141"/>
      <c r="AA296" s="1141"/>
      <c r="AB296" s="1141"/>
      <c r="AC296" s="1141"/>
      <c r="AD296" s="1141"/>
      <c r="AE296" s="1135"/>
      <c r="AF296" s="1141"/>
      <c r="AG296" s="1135"/>
      <c r="AH296" s="1141"/>
      <c r="AI296" s="1141"/>
      <c r="AJ296" s="1142"/>
      <c r="AK296" s="1137">
        <f t="shared" si="17"/>
        <v>0</v>
      </c>
      <c r="AL296" s="1137">
        <f t="shared" si="17"/>
        <v>0</v>
      </c>
    </row>
    <row r="297" spans="1:38" hidden="1" outlineLevel="2" x14ac:dyDescent="0.3">
      <c r="A297" s="1130"/>
      <c r="B297" s="1138"/>
      <c r="C297" s="1139"/>
      <c r="D297" s="1140"/>
      <c r="E297" s="1134"/>
      <c r="F297" s="1141"/>
      <c r="G297" s="1141"/>
      <c r="H297" s="1141"/>
      <c r="I297" s="1141"/>
      <c r="J297" s="1141"/>
      <c r="K297" s="1135"/>
      <c r="L297" s="1141"/>
      <c r="M297" s="1141"/>
      <c r="N297" s="1141"/>
      <c r="O297" s="1141"/>
      <c r="P297" s="1141"/>
      <c r="Q297" s="1141"/>
      <c r="R297" s="1141"/>
      <c r="S297" s="1141"/>
      <c r="T297" s="1141"/>
      <c r="U297" s="1135"/>
      <c r="V297" s="1141"/>
      <c r="W297" s="1141"/>
      <c r="X297" s="1141"/>
      <c r="Y297" s="1141"/>
      <c r="Z297" s="1141"/>
      <c r="AA297" s="1141"/>
      <c r="AB297" s="1141"/>
      <c r="AC297" s="1141"/>
      <c r="AD297" s="1141"/>
      <c r="AE297" s="1135"/>
      <c r="AF297" s="1141"/>
      <c r="AG297" s="1135"/>
      <c r="AH297" s="1141"/>
      <c r="AI297" s="1141"/>
      <c r="AJ297" s="1142"/>
      <c r="AK297" s="1137">
        <f t="shared" si="17"/>
        <v>0</v>
      </c>
      <c r="AL297" s="1137">
        <f t="shared" si="17"/>
        <v>0</v>
      </c>
    </row>
    <row r="298" spans="1:38" hidden="1" outlineLevel="2" x14ac:dyDescent="0.3">
      <c r="A298" s="1130"/>
      <c r="B298" s="1138"/>
      <c r="C298" s="1139"/>
      <c r="D298" s="1140"/>
      <c r="E298" s="1134"/>
      <c r="F298" s="1141"/>
      <c r="G298" s="1141"/>
      <c r="H298" s="1141"/>
      <c r="I298" s="1141"/>
      <c r="J298" s="1141"/>
      <c r="K298" s="1135"/>
      <c r="L298" s="1141"/>
      <c r="M298" s="1141"/>
      <c r="N298" s="1141"/>
      <c r="O298" s="1141"/>
      <c r="P298" s="1141"/>
      <c r="Q298" s="1141"/>
      <c r="R298" s="1141"/>
      <c r="S298" s="1141"/>
      <c r="T298" s="1141"/>
      <c r="U298" s="1135"/>
      <c r="V298" s="1141"/>
      <c r="W298" s="1141"/>
      <c r="X298" s="1141"/>
      <c r="Y298" s="1141"/>
      <c r="Z298" s="1141"/>
      <c r="AA298" s="1141"/>
      <c r="AB298" s="1141"/>
      <c r="AC298" s="1141"/>
      <c r="AD298" s="1141"/>
      <c r="AE298" s="1135"/>
      <c r="AF298" s="1141"/>
      <c r="AG298" s="1135"/>
      <c r="AH298" s="1141"/>
      <c r="AI298" s="1141"/>
      <c r="AJ298" s="1142"/>
      <c r="AK298" s="1137">
        <f t="shared" si="17"/>
        <v>0</v>
      </c>
      <c r="AL298" s="1137">
        <f t="shared" si="17"/>
        <v>0</v>
      </c>
    </row>
    <row r="299" spans="1:38" hidden="1" outlineLevel="2" x14ac:dyDescent="0.3">
      <c r="A299" s="1130"/>
      <c r="B299" s="1138"/>
      <c r="C299" s="1139"/>
      <c r="D299" s="1140"/>
      <c r="E299" s="1134"/>
      <c r="F299" s="1141"/>
      <c r="G299" s="1141"/>
      <c r="H299" s="1141"/>
      <c r="I299" s="1141"/>
      <c r="J299" s="1141"/>
      <c r="K299" s="1135"/>
      <c r="L299" s="1141"/>
      <c r="M299" s="1141"/>
      <c r="N299" s="1141"/>
      <c r="O299" s="1141"/>
      <c r="P299" s="1141"/>
      <c r="Q299" s="1141"/>
      <c r="R299" s="1141"/>
      <c r="S299" s="1141"/>
      <c r="T299" s="1141"/>
      <c r="U299" s="1135"/>
      <c r="V299" s="1141"/>
      <c r="W299" s="1141"/>
      <c r="X299" s="1141"/>
      <c r="Y299" s="1141"/>
      <c r="Z299" s="1141"/>
      <c r="AA299" s="1141"/>
      <c r="AB299" s="1141"/>
      <c r="AC299" s="1141"/>
      <c r="AD299" s="1141"/>
      <c r="AE299" s="1135"/>
      <c r="AF299" s="1141"/>
      <c r="AG299" s="1135"/>
      <c r="AH299" s="1141"/>
      <c r="AI299" s="1141"/>
      <c r="AJ299" s="1142"/>
      <c r="AK299" s="1137">
        <f t="shared" si="17"/>
        <v>0</v>
      </c>
      <c r="AL299" s="1137">
        <f t="shared" si="17"/>
        <v>0</v>
      </c>
    </row>
    <row r="300" spans="1:38" hidden="1" outlineLevel="2" x14ac:dyDescent="0.3">
      <c r="A300" s="1130"/>
      <c r="B300" s="1138"/>
      <c r="C300" s="1139"/>
      <c r="D300" s="1140"/>
      <c r="E300" s="1134"/>
      <c r="F300" s="1141"/>
      <c r="G300" s="1141"/>
      <c r="H300" s="1141"/>
      <c r="I300" s="1141"/>
      <c r="J300" s="1141"/>
      <c r="K300" s="1135"/>
      <c r="L300" s="1141"/>
      <c r="M300" s="1141"/>
      <c r="N300" s="1141"/>
      <c r="O300" s="1141"/>
      <c r="P300" s="1141"/>
      <c r="Q300" s="1141"/>
      <c r="R300" s="1141"/>
      <c r="S300" s="1141"/>
      <c r="T300" s="1141"/>
      <c r="U300" s="1135"/>
      <c r="V300" s="1141"/>
      <c r="W300" s="1141"/>
      <c r="X300" s="1141"/>
      <c r="Y300" s="1141"/>
      <c r="Z300" s="1141"/>
      <c r="AA300" s="1141"/>
      <c r="AB300" s="1141"/>
      <c r="AC300" s="1141"/>
      <c r="AD300" s="1141"/>
      <c r="AE300" s="1135"/>
      <c r="AF300" s="1141"/>
      <c r="AG300" s="1135"/>
      <c r="AH300" s="1141"/>
      <c r="AI300" s="1141"/>
      <c r="AJ300" s="1142"/>
      <c r="AK300" s="1137">
        <f t="shared" si="17"/>
        <v>0</v>
      </c>
      <c r="AL300" s="1137">
        <f t="shared" si="17"/>
        <v>0</v>
      </c>
    </row>
    <row r="301" spans="1:38" hidden="1" outlineLevel="2" x14ac:dyDescent="0.3">
      <c r="A301" s="1130"/>
      <c r="B301" s="1138"/>
      <c r="C301" s="1139"/>
      <c r="D301" s="1140"/>
      <c r="E301" s="1134"/>
      <c r="F301" s="1141"/>
      <c r="G301" s="1141"/>
      <c r="H301" s="1141"/>
      <c r="I301" s="1141"/>
      <c r="J301" s="1141"/>
      <c r="K301" s="1135"/>
      <c r="L301" s="1141"/>
      <c r="M301" s="1141"/>
      <c r="N301" s="1141"/>
      <c r="O301" s="1141"/>
      <c r="P301" s="1141"/>
      <c r="Q301" s="1141"/>
      <c r="R301" s="1141"/>
      <c r="S301" s="1141"/>
      <c r="T301" s="1141"/>
      <c r="U301" s="1135"/>
      <c r="V301" s="1141"/>
      <c r="W301" s="1141"/>
      <c r="X301" s="1141"/>
      <c r="Y301" s="1141"/>
      <c r="Z301" s="1141"/>
      <c r="AA301" s="1141"/>
      <c r="AB301" s="1141"/>
      <c r="AC301" s="1141"/>
      <c r="AD301" s="1141"/>
      <c r="AE301" s="1135"/>
      <c r="AF301" s="1141"/>
      <c r="AG301" s="1135"/>
      <c r="AH301" s="1141"/>
      <c r="AI301" s="1141"/>
      <c r="AJ301" s="1142"/>
      <c r="AK301" s="1137">
        <f t="shared" si="17"/>
        <v>0</v>
      </c>
      <c r="AL301" s="1137">
        <f t="shared" si="17"/>
        <v>0</v>
      </c>
    </row>
    <row r="302" spans="1:38" hidden="1" outlineLevel="2" x14ac:dyDescent="0.3">
      <c r="A302" s="1130"/>
      <c r="B302" s="1138"/>
      <c r="C302" s="1139"/>
      <c r="D302" s="1140"/>
      <c r="E302" s="1134"/>
      <c r="F302" s="1141"/>
      <c r="G302" s="1141"/>
      <c r="H302" s="1141"/>
      <c r="I302" s="1141"/>
      <c r="J302" s="1141"/>
      <c r="K302" s="1135"/>
      <c r="L302" s="1141"/>
      <c r="M302" s="1141"/>
      <c r="N302" s="1141"/>
      <c r="O302" s="1141"/>
      <c r="P302" s="1141"/>
      <c r="Q302" s="1141"/>
      <c r="R302" s="1141"/>
      <c r="S302" s="1141"/>
      <c r="T302" s="1141"/>
      <c r="U302" s="1135"/>
      <c r="V302" s="1141"/>
      <c r="W302" s="1141"/>
      <c r="X302" s="1141"/>
      <c r="Y302" s="1141"/>
      <c r="Z302" s="1141"/>
      <c r="AA302" s="1141"/>
      <c r="AB302" s="1141"/>
      <c r="AC302" s="1141"/>
      <c r="AD302" s="1141"/>
      <c r="AE302" s="1135"/>
      <c r="AF302" s="1141"/>
      <c r="AG302" s="1135"/>
      <c r="AH302" s="1141"/>
      <c r="AI302" s="1141"/>
      <c r="AJ302" s="1142"/>
      <c r="AK302" s="1137">
        <f t="shared" si="17"/>
        <v>0</v>
      </c>
      <c r="AL302" s="1137">
        <f t="shared" si="17"/>
        <v>0</v>
      </c>
    </row>
    <row r="303" spans="1:38" hidden="1" outlineLevel="2" x14ac:dyDescent="0.3">
      <c r="A303" s="1130"/>
      <c r="B303" s="1138"/>
      <c r="C303" s="1139"/>
      <c r="D303" s="1140"/>
      <c r="E303" s="1134"/>
      <c r="F303" s="1141"/>
      <c r="G303" s="1141"/>
      <c r="H303" s="1141"/>
      <c r="I303" s="1141"/>
      <c r="J303" s="1141"/>
      <c r="K303" s="1135"/>
      <c r="L303" s="1141"/>
      <c r="M303" s="1141"/>
      <c r="N303" s="1141"/>
      <c r="O303" s="1141"/>
      <c r="P303" s="1141"/>
      <c r="Q303" s="1141"/>
      <c r="R303" s="1141"/>
      <c r="S303" s="1141"/>
      <c r="T303" s="1141"/>
      <c r="U303" s="1135"/>
      <c r="V303" s="1141"/>
      <c r="W303" s="1141"/>
      <c r="X303" s="1141"/>
      <c r="Y303" s="1141"/>
      <c r="Z303" s="1141"/>
      <c r="AA303" s="1141"/>
      <c r="AB303" s="1141"/>
      <c r="AC303" s="1141"/>
      <c r="AD303" s="1141"/>
      <c r="AE303" s="1135"/>
      <c r="AF303" s="1141"/>
      <c r="AG303" s="1135"/>
      <c r="AH303" s="1141"/>
      <c r="AI303" s="1141"/>
      <c r="AJ303" s="1142"/>
      <c r="AK303" s="1137">
        <f t="shared" si="17"/>
        <v>0</v>
      </c>
      <c r="AL303" s="1137">
        <f t="shared" si="17"/>
        <v>0</v>
      </c>
    </row>
    <row r="304" spans="1:38" hidden="1" outlineLevel="2" x14ac:dyDescent="0.3">
      <c r="A304" s="1130"/>
      <c r="B304" s="1138"/>
      <c r="C304" s="1139"/>
      <c r="D304" s="1140"/>
      <c r="E304" s="1134"/>
      <c r="F304" s="1141"/>
      <c r="G304" s="1141"/>
      <c r="H304" s="1141"/>
      <c r="I304" s="1141"/>
      <c r="J304" s="1141"/>
      <c r="K304" s="1135"/>
      <c r="L304" s="1141"/>
      <c r="M304" s="1141"/>
      <c r="N304" s="1141"/>
      <c r="O304" s="1141"/>
      <c r="P304" s="1141"/>
      <c r="Q304" s="1141"/>
      <c r="R304" s="1141"/>
      <c r="S304" s="1141"/>
      <c r="T304" s="1141"/>
      <c r="U304" s="1135"/>
      <c r="V304" s="1141"/>
      <c r="W304" s="1141"/>
      <c r="X304" s="1141"/>
      <c r="Y304" s="1141"/>
      <c r="Z304" s="1141"/>
      <c r="AA304" s="1141"/>
      <c r="AB304" s="1141"/>
      <c r="AC304" s="1141"/>
      <c r="AD304" s="1141"/>
      <c r="AE304" s="1135"/>
      <c r="AF304" s="1141"/>
      <c r="AG304" s="1135"/>
      <c r="AH304" s="1141"/>
      <c r="AI304" s="1141"/>
      <c r="AJ304" s="1142"/>
      <c r="AK304" s="1137">
        <f t="shared" si="17"/>
        <v>0</v>
      </c>
      <c r="AL304" s="1137">
        <f t="shared" si="17"/>
        <v>0</v>
      </c>
    </row>
    <row r="305" spans="1:38" hidden="1" outlineLevel="2" x14ac:dyDescent="0.3">
      <c r="A305" s="1130"/>
      <c r="B305" s="1138"/>
      <c r="C305" s="1139"/>
      <c r="D305" s="1140"/>
      <c r="E305" s="1134"/>
      <c r="F305" s="1141"/>
      <c r="G305" s="1141"/>
      <c r="H305" s="1141"/>
      <c r="I305" s="1141"/>
      <c r="J305" s="1141"/>
      <c r="K305" s="1135"/>
      <c r="L305" s="1141"/>
      <c r="M305" s="1141"/>
      <c r="N305" s="1141"/>
      <c r="O305" s="1141"/>
      <c r="P305" s="1141"/>
      <c r="Q305" s="1141"/>
      <c r="R305" s="1141"/>
      <c r="S305" s="1141"/>
      <c r="T305" s="1141"/>
      <c r="U305" s="1135"/>
      <c r="V305" s="1141"/>
      <c r="W305" s="1141"/>
      <c r="X305" s="1141"/>
      <c r="Y305" s="1141"/>
      <c r="Z305" s="1141"/>
      <c r="AA305" s="1141"/>
      <c r="AB305" s="1141"/>
      <c r="AC305" s="1141"/>
      <c r="AD305" s="1141"/>
      <c r="AE305" s="1135"/>
      <c r="AF305" s="1141"/>
      <c r="AG305" s="1135"/>
      <c r="AH305" s="1141"/>
      <c r="AI305" s="1141"/>
      <c r="AJ305" s="1142"/>
      <c r="AK305" s="1137">
        <f t="shared" si="17"/>
        <v>0</v>
      </c>
      <c r="AL305" s="1137">
        <f t="shared" si="17"/>
        <v>0</v>
      </c>
    </row>
    <row r="306" spans="1:38" hidden="1" outlineLevel="2" x14ac:dyDescent="0.3">
      <c r="A306" s="1130"/>
      <c r="B306" s="1138"/>
      <c r="C306" s="1139"/>
      <c r="D306" s="1140"/>
      <c r="E306" s="1134"/>
      <c r="F306" s="1141"/>
      <c r="G306" s="1141"/>
      <c r="H306" s="1141"/>
      <c r="I306" s="1141"/>
      <c r="J306" s="1141"/>
      <c r="K306" s="1135"/>
      <c r="L306" s="1141"/>
      <c r="M306" s="1141"/>
      <c r="N306" s="1141"/>
      <c r="O306" s="1141"/>
      <c r="P306" s="1141"/>
      <c r="Q306" s="1141"/>
      <c r="R306" s="1141"/>
      <c r="S306" s="1141"/>
      <c r="T306" s="1141"/>
      <c r="U306" s="1135"/>
      <c r="V306" s="1141"/>
      <c r="W306" s="1141"/>
      <c r="X306" s="1141"/>
      <c r="Y306" s="1141"/>
      <c r="Z306" s="1141"/>
      <c r="AA306" s="1141"/>
      <c r="AB306" s="1141"/>
      <c r="AC306" s="1141"/>
      <c r="AD306" s="1141"/>
      <c r="AE306" s="1135"/>
      <c r="AF306" s="1141"/>
      <c r="AG306" s="1135"/>
      <c r="AH306" s="1141"/>
      <c r="AI306" s="1141"/>
      <c r="AJ306" s="1142"/>
      <c r="AK306" s="1137">
        <f t="shared" si="17"/>
        <v>0</v>
      </c>
      <c r="AL306" s="1137">
        <f t="shared" si="17"/>
        <v>0</v>
      </c>
    </row>
    <row r="307" spans="1:38" hidden="1" outlineLevel="2" x14ac:dyDescent="0.3">
      <c r="A307" s="1130"/>
      <c r="B307" s="1138"/>
      <c r="C307" s="1139"/>
      <c r="D307" s="1140"/>
      <c r="E307" s="1134"/>
      <c r="F307" s="1141"/>
      <c r="G307" s="1141"/>
      <c r="H307" s="1141"/>
      <c r="I307" s="1141"/>
      <c r="J307" s="1141"/>
      <c r="K307" s="1135"/>
      <c r="L307" s="1141"/>
      <c r="M307" s="1141"/>
      <c r="N307" s="1141"/>
      <c r="O307" s="1141"/>
      <c r="P307" s="1141"/>
      <c r="Q307" s="1141"/>
      <c r="R307" s="1141"/>
      <c r="S307" s="1141"/>
      <c r="T307" s="1141"/>
      <c r="U307" s="1135"/>
      <c r="V307" s="1141"/>
      <c r="W307" s="1141"/>
      <c r="X307" s="1141"/>
      <c r="Y307" s="1141"/>
      <c r="Z307" s="1141"/>
      <c r="AA307" s="1141"/>
      <c r="AB307" s="1141"/>
      <c r="AC307" s="1141"/>
      <c r="AD307" s="1141"/>
      <c r="AE307" s="1135"/>
      <c r="AF307" s="1141"/>
      <c r="AG307" s="1135"/>
      <c r="AH307" s="1141"/>
      <c r="AI307" s="1141"/>
      <c r="AJ307" s="1142"/>
      <c r="AK307" s="1137">
        <f t="shared" ref="AK307:AL324" si="18">SUM(E307,G307,I307)-SUM(K307,M307,O307,Q307,S307,U307,W307,Y307,AA307,AC307,AE307,AG307,AI307)</f>
        <v>0</v>
      </c>
      <c r="AL307" s="1137">
        <f t="shared" si="18"/>
        <v>0</v>
      </c>
    </row>
    <row r="308" spans="1:38" hidden="1" outlineLevel="2" x14ac:dyDescent="0.3">
      <c r="A308" s="1130"/>
      <c r="B308" s="1138"/>
      <c r="C308" s="1139"/>
      <c r="D308" s="1140"/>
      <c r="E308" s="1134"/>
      <c r="F308" s="1141"/>
      <c r="G308" s="1141"/>
      <c r="H308" s="1141"/>
      <c r="I308" s="1141"/>
      <c r="J308" s="1141"/>
      <c r="K308" s="1135"/>
      <c r="L308" s="1141"/>
      <c r="M308" s="1141"/>
      <c r="N308" s="1141"/>
      <c r="O308" s="1141"/>
      <c r="P308" s="1141"/>
      <c r="Q308" s="1141"/>
      <c r="R308" s="1141"/>
      <c r="S308" s="1141"/>
      <c r="T308" s="1141"/>
      <c r="U308" s="1135"/>
      <c r="V308" s="1141"/>
      <c r="W308" s="1141"/>
      <c r="X308" s="1141"/>
      <c r="Y308" s="1141"/>
      <c r="Z308" s="1141"/>
      <c r="AA308" s="1141"/>
      <c r="AB308" s="1141"/>
      <c r="AC308" s="1141"/>
      <c r="AD308" s="1141"/>
      <c r="AE308" s="1135"/>
      <c r="AF308" s="1141"/>
      <c r="AG308" s="1135"/>
      <c r="AH308" s="1141"/>
      <c r="AI308" s="1141"/>
      <c r="AJ308" s="1142"/>
      <c r="AK308" s="1137">
        <f t="shared" si="18"/>
        <v>0</v>
      </c>
      <c r="AL308" s="1137">
        <f t="shared" si="18"/>
        <v>0</v>
      </c>
    </row>
    <row r="309" spans="1:38" hidden="1" outlineLevel="2" x14ac:dyDescent="0.3">
      <c r="A309" s="1130"/>
      <c r="B309" s="1138"/>
      <c r="C309" s="1139"/>
      <c r="D309" s="1140"/>
      <c r="E309" s="1134"/>
      <c r="F309" s="1141"/>
      <c r="G309" s="1141"/>
      <c r="H309" s="1141"/>
      <c r="I309" s="1141"/>
      <c r="J309" s="1141"/>
      <c r="K309" s="1135"/>
      <c r="L309" s="1141"/>
      <c r="M309" s="1141"/>
      <c r="N309" s="1141"/>
      <c r="O309" s="1141"/>
      <c r="P309" s="1141"/>
      <c r="Q309" s="1141"/>
      <c r="R309" s="1141"/>
      <c r="S309" s="1141"/>
      <c r="T309" s="1141"/>
      <c r="U309" s="1135"/>
      <c r="V309" s="1141"/>
      <c r="W309" s="1141"/>
      <c r="X309" s="1141"/>
      <c r="Y309" s="1141"/>
      <c r="Z309" s="1141"/>
      <c r="AA309" s="1141"/>
      <c r="AB309" s="1141"/>
      <c r="AC309" s="1141"/>
      <c r="AD309" s="1141"/>
      <c r="AE309" s="1135"/>
      <c r="AF309" s="1141"/>
      <c r="AG309" s="1135"/>
      <c r="AH309" s="1141"/>
      <c r="AI309" s="1141"/>
      <c r="AJ309" s="1142"/>
      <c r="AK309" s="1137">
        <f t="shared" si="18"/>
        <v>0</v>
      </c>
      <c r="AL309" s="1137">
        <f t="shared" si="18"/>
        <v>0</v>
      </c>
    </row>
    <row r="310" spans="1:38" hidden="1" outlineLevel="2" x14ac:dyDescent="0.3">
      <c r="A310" s="1130"/>
      <c r="B310" s="1138"/>
      <c r="C310" s="1139"/>
      <c r="D310" s="1140"/>
      <c r="E310" s="1134"/>
      <c r="F310" s="1141"/>
      <c r="G310" s="1141"/>
      <c r="H310" s="1141"/>
      <c r="I310" s="1141"/>
      <c r="J310" s="1141"/>
      <c r="K310" s="1135"/>
      <c r="L310" s="1141"/>
      <c r="M310" s="1141"/>
      <c r="N310" s="1141"/>
      <c r="O310" s="1141"/>
      <c r="P310" s="1141"/>
      <c r="Q310" s="1141"/>
      <c r="R310" s="1141"/>
      <c r="S310" s="1141"/>
      <c r="T310" s="1141"/>
      <c r="U310" s="1135"/>
      <c r="V310" s="1141"/>
      <c r="W310" s="1141"/>
      <c r="X310" s="1141"/>
      <c r="Y310" s="1141"/>
      <c r="Z310" s="1141"/>
      <c r="AA310" s="1141"/>
      <c r="AB310" s="1141"/>
      <c r="AC310" s="1141"/>
      <c r="AD310" s="1141"/>
      <c r="AE310" s="1135"/>
      <c r="AF310" s="1141"/>
      <c r="AG310" s="1135"/>
      <c r="AH310" s="1141"/>
      <c r="AI310" s="1141"/>
      <c r="AJ310" s="1142"/>
      <c r="AK310" s="1137">
        <f t="shared" si="18"/>
        <v>0</v>
      </c>
      <c r="AL310" s="1137">
        <f t="shared" si="18"/>
        <v>0</v>
      </c>
    </row>
    <row r="311" spans="1:38" hidden="1" outlineLevel="2" x14ac:dyDescent="0.3">
      <c r="A311" s="1130"/>
      <c r="B311" s="1138"/>
      <c r="C311" s="1139"/>
      <c r="D311" s="1140"/>
      <c r="E311" s="1134"/>
      <c r="F311" s="1141"/>
      <c r="G311" s="1141"/>
      <c r="H311" s="1141"/>
      <c r="I311" s="1141"/>
      <c r="J311" s="1141"/>
      <c r="K311" s="1135"/>
      <c r="L311" s="1141"/>
      <c r="M311" s="1141"/>
      <c r="N311" s="1141"/>
      <c r="O311" s="1141"/>
      <c r="P311" s="1141"/>
      <c r="Q311" s="1141"/>
      <c r="R311" s="1141"/>
      <c r="S311" s="1141"/>
      <c r="T311" s="1141"/>
      <c r="U311" s="1135"/>
      <c r="V311" s="1141"/>
      <c r="W311" s="1141"/>
      <c r="X311" s="1141"/>
      <c r="Y311" s="1141"/>
      <c r="Z311" s="1141"/>
      <c r="AA311" s="1141"/>
      <c r="AB311" s="1141"/>
      <c r="AC311" s="1141"/>
      <c r="AD311" s="1141"/>
      <c r="AE311" s="1135"/>
      <c r="AF311" s="1141"/>
      <c r="AG311" s="1135"/>
      <c r="AH311" s="1141"/>
      <c r="AI311" s="1141"/>
      <c r="AJ311" s="1142"/>
      <c r="AK311" s="1137">
        <f t="shared" si="18"/>
        <v>0</v>
      </c>
      <c r="AL311" s="1137">
        <f t="shared" si="18"/>
        <v>0</v>
      </c>
    </row>
    <row r="312" spans="1:38" hidden="1" outlineLevel="2" x14ac:dyDescent="0.3">
      <c r="A312" s="1130"/>
      <c r="B312" s="1138"/>
      <c r="C312" s="1139"/>
      <c r="D312" s="1140"/>
      <c r="E312" s="1134"/>
      <c r="F312" s="1141"/>
      <c r="G312" s="1141"/>
      <c r="H312" s="1141"/>
      <c r="I312" s="1141"/>
      <c r="J312" s="1141"/>
      <c r="K312" s="1135"/>
      <c r="L312" s="1141"/>
      <c r="M312" s="1141"/>
      <c r="N312" s="1141"/>
      <c r="O312" s="1141"/>
      <c r="P312" s="1141"/>
      <c r="Q312" s="1141"/>
      <c r="R312" s="1141"/>
      <c r="S312" s="1141"/>
      <c r="T312" s="1141"/>
      <c r="U312" s="1135"/>
      <c r="V312" s="1141"/>
      <c r="W312" s="1141"/>
      <c r="X312" s="1141"/>
      <c r="Y312" s="1141"/>
      <c r="Z312" s="1141"/>
      <c r="AA312" s="1141"/>
      <c r="AB312" s="1141"/>
      <c r="AC312" s="1141"/>
      <c r="AD312" s="1141"/>
      <c r="AE312" s="1135"/>
      <c r="AF312" s="1141"/>
      <c r="AG312" s="1135"/>
      <c r="AH312" s="1141"/>
      <c r="AI312" s="1141"/>
      <c r="AJ312" s="1142"/>
      <c r="AK312" s="1137">
        <f t="shared" si="18"/>
        <v>0</v>
      </c>
      <c r="AL312" s="1137">
        <f t="shared" si="18"/>
        <v>0</v>
      </c>
    </row>
    <row r="313" spans="1:38" hidden="1" outlineLevel="2" x14ac:dyDescent="0.3">
      <c r="A313" s="1130"/>
      <c r="B313" s="1138"/>
      <c r="C313" s="1139"/>
      <c r="D313" s="1140"/>
      <c r="E313" s="1134"/>
      <c r="F313" s="1141"/>
      <c r="G313" s="1141"/>
      <c r="H313" s="1141"/>
      <c r="I313" s="1141"/>
      <c r="J313" s="1141"/>
      <c r="K313" s="1135"/>
      <c r="L313" s="1141"/>
      <c r="M313" s="1141"/>
      <c r="N313" s="1141"/>
      <c r="O313" s="1141"/>
      <c r="P313" s="1141"/>
      <c r="Q313" s="1141"/>
      <c r="R313" s="1141"/>
      <c r="S313" s="1141"/>
      <c r="T313" s="1141"/>
      <c r="U313" s="1135"/>
      <c r="V313" s="1141"/>
      <c r="W313" s="1141"/>
      <c r="X313" s="1141"/>
      <c r="Y313" s="1141"/>
      <c r="Z313" s="1141"/>
      <c r="AA313" s="1141"/>
      <c r="AB313" s="1141"/>
      <c r="AC313" s="1141"/>
      <c r="AD313" s="1141"/>
      <c r="AE313" s="1135"/>
      <c r="AF313" s="1141"/>
      <c r="AG313" s="1135"/>
      <c r="AH313" s="1141"/>
      <c r="AI313" s="1141"/>
      <c r="AJ313" s="1142"/>
      <c r="AK313" s="1137">
        <f t="shared" si="18"/>
        <v>0</v>
      </c>
      <c r="AL313" s="1137">
        <f t="shared" si="18"/>
        <v>0</v>
      </c>
    </row>
    <row r="314" spans="1:38" hidden="1" outlineLevel="2" x14ac:dyDescent="0.3">
      <c r="A314" s="1130"/>
      <c r="B314" s="1138"/>
      <c r="C314" s="1139"/>
      <c r="D314" s="1140"/>
      <c r="E314" s="1134"/>
      <c r="F314" s="1141"/>
      <c r="G314" s="1141"/>
      <c r="H314" s="1141"/>
      <c r="I314" s="1141"/>
      <c r="J314" s="1141"/>
      <c r="K314" s="1135"/>
      <c r="L314" s="1141"/>
      <c r="M314" s="1141"/>
      <c r="N314" s="1141"/>
      <c r="O314" s="1141"/>
      <c r="P314" s="1141"/>
      <c r="Q314" s="1141"/>
      <c r="R314" s="1141"/>
      <c r="S314" s="1141"/>
      <c r="T314" s="1141"/>
      <c r="U314" s="1135"/>
      <c r="V314" s="1141"/>
      <c r="W314" s="1141"/>
      <c r="X314" s="1141"/>
      <c r="Y314" s="1141"/>
      <c r="Z314" s="1141"/>
      <c r="AA314" s="1141"/>
      <c r="AB314" s="1141"/>
      <c r="AC314" s="1141"/>
      <c r="AD314" s="1141"/>
      <c r="AE314" s="1135"/>
      <c r="AF314" s="1141"/>
      <c r="AG314" s="1135"/>
      <c r="AH314" s="1141"/>
      <c r="AI314" s="1141"/>
      <c r="AJ314" s="1142"/>
      <c r="AK314" s="1137">
        <f t="shared" si="18"/>
        <v>0</v>
      </c>
      <c r="AL314" s="1137">
        <f t="shared" si="18"/>
        <v>0</v>
      </c>
    </row>
    <row r="315" spans="1:38" hidden="1" outlineLevel="2" x14ac:dyDescent="0.3">
      <c r="A315" s="1130"/>
      <c r="B315" s="1138"/>
      <c r="C315" s="1139"/>
      <c r="D315" s="1140"/>
      <c r="E315" s="1134"/>
      <c r="F315" s="1141"/>
      <c r="G315" s="1141"/>
      <c r="H315" s="1141"/>
      <c r="I315" s="1141"/>
      <c r="J315" s="1141"/>
      <c r="K315" s="1135"/>
      <c r="L315" s="1141"/>
      <c r="M315" s="1141"/>
      <c r="N315" s="1141"/>
      <c r="O315" s="1141"/>
      <c r="P315" s="1141"/>
      <c r="Q315" s="1141"/>
      <c r="R315" s="1141"/>
      <c r="S315" s="1141"/>
      <c r="T315" s="1141"/>
      <c r="U315" s="1135"/>
      <c r="V315" s="1141"/>
      <c r="W315" s="1141"/>
      <c r="X315" s="1141"/>
      <c r="Y315" s="1141"/>
      <c r="Z315" s="1141"/>
      <c r="AA315" s="1141"/>
      <c r="AB315" s="1141"/>
      <c r="AC315" s="1141"/>
      <c r="AD315" s="1141"/>
      <c r="AE315" s="1135"/>
      <c r="AF315" s="1141"/>
      <c r="AG315" s="1135"/>
      <c r="AH315" s="1141"/>
      <c r="AI315" s="1141"/>
      <c r="AJ315" s="1142"/>
      <c r="AK315" s="1137">
        <f t="shared" si="18"/>
        <v>0</v>
      </c>
      <c r="AL315" s="1137">
        <f t="shared" si="18"/>
        <v>0</v>
      </c>
    </row>
    <row r="316" spans="1:38" hidden="1" outlineLevel="2" x14ac:dyDescent="0.3">
      <c r="A316" s="1130"/>
      <c r="B316" s="1138"/>
      <c r="C316" s="1139"/>
      <c r="D316" s="1140"/>
      <c r="E316" s="1134"/>
      <c r="F316" s="1141"/>
      <c r="G316" s="1141"/>
      <c r="H316" s="1141"/>
      <c r="I316" s="1141"/>
      <c r="J316" s="1141"/>
      <c r="K316" s="1135"/>
      <c r="L316" s="1141"/>
      <c r="M316" s="1141"/>
      <c r="N316" s="1141"/>
      <c r="O316" s="1141"/>
      <c r="P316" s="1141"/>
      <c r="Q316" s="1141"/>
      <c r="R316" s="1141"/>
      <c r="S316" s="1141"/>
      <c r="T316" s="1141"/>
      <c r="U316" s="1135"/>
      <c r="V316" s="1141"/>
      <c r="W316" s="1141"/>
      <c r="X316" s="1141"/>
      <c r="Y316" s="1141"/>
      <c r="Z316" s="1141"/>
      <c r="AA316" s="1141"/>
      <c r="AB316" s="1141"/>
      <c r="AC316" s="1141"/>
      <c r="AD316" s="1141"/>
      <c r="AE316" s="1135"/>
      <c r="AF316" s="1141"/>
      <c r="AG316" s="1135"/>
      <c r="AH316" s="1141"/>
      <c r="AI316" s="1141"/>
      <c r="AJ316" s="1142"/>
      <c r="AK316" s="1137">
        <f t="shared" si="18"/>
        <v>0</v>
      </c>
      <c r="AL316" s="1137">
        <f t="shared" si="18"/>
        <v>0</v>
      </c>
    </row>
    <row r="317" spans="1:38" hidden="1" outlineLevel="2" x14ac:dyDescent="0.3">
      <c r="A317" s="1130"/>
      <c r="B317" s="1138"/>
      <c r="C317" s="1139"/>
      <c r="D317" s="1140"/>
      <c r="E317" s="1134"/>
      <c r="F317" s="1141"/>
      <c r="G317" s="1141"/>
      <c r="H317" s="1141"/>
      <c r="I317" s="1141"/>
      <c r="J317" s="1141"/>
      <c r="K317" s="1135"/>
      <c r="L317" s="1141"/>
      <c r="M317" s="1141"/>
      <c r="N317" s="1141"/>
      <c r="O317" s="1141"/>
      <c r="P317" s="1141"/>
      <c r="Q317" s="1141"/>
      <c r="R317" s="1141"/>
      <c r="S317" s="1141"/>
      <c r="T317" s="1141"/>
      <c r="U317" s="1135"/>
      <c r="V317" s="1141"/>
      <c r="W317" s="1141"/>
      <c r="X317" s="1141"/>
      <c r="Y317" s="1141"/>
      <c r="Z317" s="1141"/>
      <c r="AA317" s="1141"/>
      <c r="AB317" s="1141"/>
      <c r="AC317" s="1141"/>
      <c r="AD317" s="1141"/>
      <c r="AE317" s="1135"/>
      <c r="AF317" s="1141"/>
      <c r="AG317" s="1135"/>
      <c r="AH317" s="1141"/>
      <c r="AI317" s="1141"/>
      <c r="AJ317" s="1142"/>
      <c r="AK317" s="1137">
        <f t="shared" si="18"/>
        <v>0</v>
      </c>
      <c r="AL317" s="1137">
        <f t="shared" si="18"/>
        <v>0</v>
      </c>
    </row>
    <row r="318" spans="1:38" hidden="1" outlineLevel="2" x14ac:dyDescent="0.3">
      <c r="A318" s="1130"/>
      <c r="B318" s="1138"/>
      <c r="C318" s="1139"/>
      <c r="D318" s="1140"/>
      <c r="E318" s="1134"/>
      <c r="F318" s="1141"/>
      <c r="G318" s="1141"/>
      <c r="H318" s="1141"/>
      <c r="I318" s="1141"/>
      <c r="J318" s="1141"/>
      <c r="K318" s="1135"/>
      <c r="L318" s="1141"/>
      <c r="M318" s="1141"/>
      <c r="N318" s="1141"/>
      <c r="O318" s="1141"/>
      <c r="P318" s="1141"/>
      <c r="Q318" s="1141"/>
      <c r="R318" s="1141"/>
      <c r="S318" s="1141"/>
      <c r="T318" s="1141"/>
      <c r="U318" s="1135"/>
      <c r="V318" s="1141"/>
      <c r="W318" s="1141"/>
      <c r="X318" s="1141"/>
      <c r="Y318" s="1141"/>
      <c r="Z318" s="1141"/>
      <c r="AA318" s="1141"/>
      <c r="AB318" s="1141"/>
      <c r="AC318" s="1141"/>
      <c r="AD318" s="1141"/>
      <c r="AE318" s="1135"/>
      <c r="AF318" s="1141"/>
      <c r="AG318" s="1135"/>
      <c r="AH318" s="1141"/>
      <c r="AI318" s="1141"/>
      <c r="AJ318" s="1142"/>
      <c r="AK318" s="1137">
        <f t="shared" si="18"/>
        <v>0</v>
      </c>
      <c r="AL318" s="1137">
        <f t="shared" si="18"/>
        <v>0</v>
      </c>
    </row>
    <row r="319" spans="1:38" hidden="1" outlineLevel="2" x14ac:dyDescent="0.3">
      <c r="A319" s="1130"/>
      <c r="B319" s="1138"/>
      <c r="C319" s="1139"/>
      <c r="D319" s="1140"/>
      <c r="E319" s="1134"/>
      <c r="F319" s="1141"/>
      <c r="G319" s="1141"/>
      <c r="H319" s="1141"/>
      <c r="I319" s="1141"/>
      <c r="J319" s="1141"/>
      <c r="K319" s="1135"/>
      <c r="L319" s="1141"/>
      <c r="M319" s="1141"/>
      <c r="N319" s="1141"/>
      <c r="O319" s="1141"/>
      <c r="P319" s="1141"/>
      <c r="Q319" s="1141"/>
      <c r="R319" s="1141"/>
      <c r="S319" s="1141"/>
      <c r="T319" s="1141"/>
      <c r="U319" s="1135"/>
      <c r="V319" s="1141"/>
      <c r="W319" s="1141"/>
      <c r="X319" s="1141"/>
      <c r="Y319" s="1141"/>
      <c r="Z319" s="1141"/>
      <c r="AA319" s="1141"/>
      <c r="AB319" s="1141"/>
      <c r="AC319" s="1141"/>
      <c r="AD319" s="1141"/>
      <c r="AE319" s="1135"/>
      <c r="AF319" s="1141"/>
      <c r="AG319" s="1135"/>
      <c r="AH319" s="1141"/>
      <c r="AI319" s="1141"/>
      <c r="AJ319" s="1142"/>
      <c r="AK319" s="1137">
        <f t="shared" si="18"/>
        <v>0</v>
      </c>
      <c r="AL319" s="1137">
        <f t="shared" si="18"/>
        <v>0</v>
      </c>
    </row>
    <row r="320" spans="1:38" hidden="1" outlineLevel="2" x14ac:dyDescent="0.3">
      <c r="A320" s="1130"/>
      <c r="B320" s="1138"/>
      <c r="C320" s="1139"/>
      <c r="D320" s="1140"/>
      <c r="E320" s="1134"/>
      <c r="F320" s="1141"/>
      <c r="G320" s="1141"/>
      <c r="H320" s="1141"/>
      <c r="I320" s="1141"/>
      <c r="J320" s="1141"/>
      <c r="K320" s="1135"/>
      <c r="L320" s="1141"/>
      <c r="M320" s="1141"/>
      <c r="N320" s="1141"/>
      <c r="O320" s="1141"/>
      <c r="P320" s="1141"/>
      <c r="Q320" s="1141"/>
      <c r="R320" s="1141"/>
      <c r="S320" s="1141"/>
      <c r="T320" s="1141"/>
      <c r="U320" s="1135"/>
      <c r="V320" s="1141"/>
      <c r="W320" s="1141"/>
      <c r="X320" s="1141"/>
      <c r="Y320" s="1141"/>
      <c r="Z320" s="1141"/>
      <c r="AA320" s="1141"/>
      <c r="AB320" s="1141"/>
      <c r="AC320" s="1141"/>
      <c r="AD320" s="1141"/>
      <c r="AE320" s="1135"/>
      <c r="AF320" s="1141"/>
      <c r="AG320" s="1135"/>
      <c r="AH320" s="1141"/>
      <c r="AI320" s="1141"/>
      <c r="AJ320" s="1142"/>
      <c r="AK320" s="1137">
        <f t="shared" si="18"/>
        <v>0</v>
      </c>
      <c r="AL320" s="1137">
        <f t="shared" si="18"/>
        <v>0</v>
      </c>
    </row>
    <row r="321" spans="1:38" hidden="1" outlineLevel="2" x14ac:dyDescent="0.3">
      <c r="A321" s="1130"/>
      <c r="B321" s="1138"/>
      <c r="C321" s="1139"/>
      <c r="D321" s="1140"/>
      <c r="E321" s="1134"/>
      <c r="F321" s="1141"/>
      <c r="G321" s="1141"/>
      <c r="H321" s="1141"/>
      <c r="I321" s="1141"/>
      <c r="J321" s="1141"/>
      <c r="K321" s="1135"/>
      <c r="L321" s="1141"/>
      <c r="M321" s="1141"/>
      <c r="N321" s="1141"/>
      <c r="O321" s="1141"/>
      <c r="P321" s="1141"/>
      <c r="Q321" s="1141"/>
      <c r="R321" s="1141"/>
      <c r="S321" s="1141"/>
      <c r="T321" s="1141"/>
      <c r="U321" s="1135"/>
      <c r="V321" s="1141"/>
      <c r="W321" s="1141"/>
      <c r="X321" s="1141"/>
      <c r="Y321" s="1141"/>
      <c r="Z321" s="1141"/>
      <c r="AA321" s="1141"/>
      <c r="AB321" s="1141"/>
      <c r="AC321" s="1141"/>
      <c r="AD321" s="1141"/>
      <c r="AE321" s="1135"/>
      <c r="AF321" s="1141"/>
      <c r="AG321" s="1135"/>
      <c r="AH321" s="1141"/>
      <c r="AI321" s="1141"/>
      <c r="AJ321" s="1142"/>
      <c r="AK321" s="1137">
        <f t="shared" si="18"/>
        <v>0</v>
      </c>
      <c r="AL321" s="1137">
        <f t="shared" si="18"/>
        <v>0</v>
      </c>
    </row>
    <row r="322" spans="1:38" hidden="1" outlineLevel="2" x14ac:dyDescent="0.3">
      <c r="A322" s="1130"/>
      <c r="B322" s="1138"/>
      <c r="C322" s="1139"/>
      <c r="D322" s="1140"/>
      <c r="E322" s="1134"/>
      <c r="F322" s="1141"/>
      <c r="G322" s="1141"/>
      <c r="H322" s="1141"/>
      <c r="I322" s="1141"/>
      <c r="J322" s="1141"/>
      <c r="K322" s="1135"/>
      <c r="L322" s="1141"/>
      <c r="M322" s="1141"/>
      <c r="N322" s="1141"/>
      <c r="O322" s="1141"/>
      <c r="P322" s="1141"/>
      <c r="Q322" s="1141"/>
      <c r="R322" s="1141"/>
      <c r="S322" s="1141"/>
      <c r="T322" s="1141"/>
      <c r="U322" s="1135"/>
      <c r="V322" s="1141"/>
      <c r="W322" s="1141"/>
      <c r="X322" s="1141"/>
      <c r="Y322" s="1141"/>
      <c r="Z322" s="1141"/>
      <c r="AA322" s="1141"/>
      <c r="AB322" s="1141"/>
      <c r="AC322" s="1141"/>
      <c r="AD322" s="1141"/>
      <c r="AE322" s="1135"/>
      <c r="AF322" s="1141"/>
      <c r="AG322" s="1135"/>
      <c r="AH322" s="1141"/>
      <c r="AI322" s="1141"/>
      <c r="AJ322" s="1142"/>
      <c r="AK322" s="1137">
        <f t="shared" si="18"/>
        <v>0</v>
      </c>
      <c r="AL322" s="1137">
        <f t="shared" si="18"/>
        <v>0</v>
      </c>
    </row>
    <row r="323" spans="1:38" hidden="1" outlineLevel="2" x14ac:dyDescent="0.3">
      <c r="A323" s="1130"/>
      <c r="B323" s="1138"/>
      <c r="C323" s="1139"/>
      <c r="D323" s="1140"/>
      <c r="E323" s="1134"/>
      <c r="F323" s="1141"/>
      <c r="G323" s="1141"/>
      <c r="H323" s="1141"/>
      <c r="I323" s="1141"/>
      <c r="J323" s="1141"/>
      <c r="K323" s="1135"/>
      <c r="L323" s="1141"/>
      <c r="M323" s="1141"/>
      <c r="N323" s="1141"/>
      <c r="O323" s="1141"/>
      <c r="P323" s="1141"/>
      <c r="Q323" s="1141"/>
      <c r="R323" s="1141"/>
      <c r="S323" s="1141"/>
      <c r="T323" s="1141"/>
      <c r="U323" s="1135"/>
      <c r="V323" s="1141"/>
      <c r="W323" s="1141"/>
      <c r="X323" s="1141"/>
      <c r="Y323" s="1141"/>
      <c r="Z323" s="1141"/>
      <c r="AA323" s="1141"/>
      <c r="AB323" s="1141"/>
      <c r="AC323" s="1141"/>
      <c r="AD323" s="1141"/>
      <c r="AE323" s="1135"/>
      <c r="AF323" s="1141"/>
      <c r="AG323" s="1135"/>
      <c r="AH323" s="1141"/>
      <c r="AI323" s="1141"/>
      <c r="AJ323" s="1142"/>
      <c r="AK323" s="1137">
        <f t="shared" si="18"/>
        <v>0</v>
      </c>
      <c r="AL323" s="1137">
        <f t="shared" si="18"/>
        <v>0</v>
      </c>
    </row>
    <row r="324" spans="1:38" hidden="1" outlineLevel="2" x14ac:dyDescent="0.3">
      <c r="A324" s="1130"/>
      <c r="B324" s="1138"/>
      <c r="C324" s="1139"/>
      <c r="D324" s="1140"/>
      <c r="E324" s="1134"/>
      <c r="F324" s="1141"/>
      <c r="G324" s="1141"/>
      <c r="H324" s="1141"/>
      <c r="I324" s="1141"/>
      <c r="J324" s="1141"/>
      <c r="K324" s="1135"/>
      <c r="L324" s="1141"/>
      <c r="M324" s="1141"/>
      <c r="N324" s="1141"/>
      <c r="O324" s="1141"/>
      <c r="P324" s="1141"/>
      <c r="Q324" s="1141"/>
      <c r="R324" s="1141"/>
      <c r="S324" s="1141"/>
      <c r="T324" s="1141"/>
      <c r="U324" s="1135"/>
      <c r="V324" s="1141"/>
      <c r="W324" s="1141"/>
      <c r="X324" s="1141"/>
      <c r="Y324" s="1141"/>
      <c r="Z324" s="1141"/>
      <c r="AA324" s="1141"/>
      <c r="AB324" s="1141"/>
      <c r="AC324" s="1141"/>
      <c r="AD324" s="1141"/>
      <c r="AE324" s="1135"/>
      <c r="AF324" s="1141"/>
      <c r="AG324" s="1135"/>
      <c r="AH324" s="1141"/>
      <c r="AI324" s="1141"/>
      <c r="AJ324" s="1142"/>
      <c r="AK324" s="1137">
        <f t="shared" si="18"/>
        <v>0</v>
      </c>
      <c r="AL324" s="1137">
        <f t="shared" si="18"/>
        <v>0</v>
      </c>
    </row>
    <row r="325" spans="1:38" hidden="1" outlineLevel="2" x14ac:dyDescent="0.3">
      <c r="A325" s="1130"/>
      <c r="B325" s="1138"/>
      <c r="C325" s="1139"/>
      <c r="D325" s="1140"/>
      <c r="E325" s="1143"/>
      <c r="F325" s="1141"/>
      <c r="G325" s="1141"/>
      <c r="H325" s="1141"/>
      <c r="I325" s="1141"/>
      <c r="J325" s="1141"/>
      <c r="K325" s="1141"/>
      <c r="L325" s="1141"/>
      <c r="M325" s="1141"/>
      <c r="N325" s="1141"/>
      <c r="O325" s="1141"/>
      <c r="P325" s="1141"/>
      <c r="Q325" s="1141"/>
      <c r="R325" s="1141"/>
      <c r="S325" s="1141"/>
      <c r="T325" s="1141"/>
      <c r="U325" s="1135"/>
      <c r="V325" s="1141"/>
      <c r="W325" s="1141"/>
      <c r="X325" s="1141"/>
      <c r="Y325" s="1141"/>
      <c r="Z325" s="1141"/>
      <c r="AA325" s="1141"/>
      <c r="AB325" s="1141"/>
      <c r="AC325" s="1141"/>
      <c r="AD325" s="1141"/>
      <c r="AE325" s="1135"/>
      <c r="AF325" s="1141"/>
      <c r="AG325" s="1135"/>
      <c r="AH325" s="1141"/>
      <c r="AI325" s="1141"/>
      <c r="AJ325" s="1142"/>
      <c r="AK325" s="1137"/>
      <c r="AL325" s="1144"/>
    </row>
    <row r="326" spans="1:38" hidden="1" outlineLevel="2" x14ac:dyDescent="0.3">
      <c r="A326" s="1130"/>
      <c r="B326" s="1138"/>
      <c r="C326" s="1139"/>
      <c r="D326" s="1140"/>
      <c r="E326" s="1143"/>
      <c r="F326" s="1141"/>
      <c r="G326" s="1141"/>
      <c r="H326" s="1141"/>
      <c r="I326" s="1141"/>
      <c r="J326" s="1141"/>
      <c r="K326" s="1141"/>
      <c r="L326" s="1141"/>
      <c r="M326" s="1141"/>
      <c r="N326" s="1141"/>
      <c r="O326" s="1141"/>
      <c r="P326" s="1141"/>
      <c r="Q326" s="1141"/>
      <c r="R326" s="1141"/>
      <c r="S326" s="1141"/>
      <c r="T326" s="1141"/>
      <c r="U326" s="1141"/>
      <c r="V326" s="1141"/>
      <c r="W326" s="1141"/>
      <c r="X326" s="1141"/>
      <c r="Y326" s="1141"/>
      <c r="Z326" s="1141"/>
      <c r="AA326" s="1141"/>
      <c r="AB326" s="1141"/>
      <c r="AC326" s="1141"/>
      <c r="AD326" s="1141"/>
      <c r="AE326" s="1141"/>
      <c r="AF326" s="1141"/>
      <c r="AG326" s="1141"/>
      <c r="AH326" s="1141"/>
      <c r="AI326" s="1141"/>
      <c r="AJ326" s="1142"/>
      <c r="AK326" s="1142"/>
      <c r="AL326" s="1144"/>
    </row>
    <row r="327" spans="1:38" ht="15" outlineLevel="1" collapsed="1" thickBot="1" x14ac:dyDescent="0.35">
      <c r="A327" s="1130"/>
      <c r="B327" s="1145" t="s">
        <v>550</v>
      </c>
      <c r="C327" s="1146"/>
      <c r="D327" s="1147"/>
      <c r="E327" s="1148">
        <f t="shared" ref="E327:AL327" si="19">SUBTOTAL(9,E275:E326)</f>
        <v>0</v>
      </c>
      <c r="F327" s="1149">
        <f t="shared" si="19"/>
        <v>0</v>
      </c>
      <c r="G327" s="1149">
        <f t="shared" si="19"/>
        <v>0</v>
      </c>
      <c r="H327" s="1149">
        <f t="shared" si="19"/>
        <v>0</v>
      </c>
      <c r="I327" s="1149">
        <f t="shared" si="19"/>
        <v>0</v>
      </c>
      <c r="J327" s="1149">
        <f t="shared" si="19"/>
        <v>0</v>
      </c>
      <c r="K327" s="1149">
        <f t="shared" si="19"/>
        <v>0</v>
      </c>
      <c r="L327" s="1149">
        <f t="shared" si="19"/>
        <v>0</v>
      </c>
      <c r="M327" s="1149">
        <f t="shared" si="19"/>
        <v>0</v>
      </c>
      <c r="N327" s="1149">
        <f t="shared" si="19"/>
        <v>0</v>
      </c>
      <c r="O327" s="1149">
        <f t="shared" si="19"/>
        <v>0</v>
      </c>
      <c r="P327" s="1149">
        <f t="shared" si="19"/>
        <v>0</v>
      </c>
      <c r="Q327" s="1149">
        <f t="shared" si="19"/>
        <v>0</v>
      </c>
      <c r="R327" s="1149">
        <f t="shared" si="19"/>
        <v>0</v>
      </c>
      <c r="S327" s="1149">
        <f t="shared" si="19"/>
        <v>0</v>
      </c>
      <c r="T327" s="1149">
        <f t="shared" si="19"/>
        <v>0</v>
      </c>
      <c r="U327" s="1149">
        <f t="shared" si="19"/>
        <v>0</v>
      </c>
      <c r="V327" s="1149">
        <f t="shared" si="19"/>
        <v>0</v>
      </c>
      <c r="W327" s="1149">
        <f t="shared" si="19"/>
        <v>0</v>
      </c>
      <c r="X327" s="1149">
        <f t="shared" si="19"/>
        <v>0</v>
      </c>
      <c r="Y327" s="1149">
        <f t="shared" si="19"/>
        <v>0</v>
      </c>
      <c r="Z327" s="1149">
        <f t="shared" si="19"/>
        <v>0</v>
      </c>
      <c r="AA327" s="1149">
        <f t="shared" si="19"/>
        <v>0</v>
      </c>
      <c r="AB327" s="1149">
        <f t="shared" si="19"/>
        <v>0</v>
      </c>
      <c r="AC327" s="1149">
        <f t="shared" si="19"/>
        <v>0</v>
      </c>
      <c r="AD327" s="1149">
        <f t="shared" si="19"/>
        <v>0</v>
      </c>
      <c r="AE327" s="1149">
        <f t="shared" si="19"/>
        <v>0</v>
      </c>
      <c r="AF327" s="1149">
        <f t="shared" si="19"/>
        <v>0</v>
      </c>
      <c r="AG327" s="1149">
        <f t="shared" si="19"/>
        <v>0</v>
      </c>
      <c r="AH327" s="1149">
        <f t="shared" si="19"/>
        <v>0</v>
      </c>
      <c r="AI327" s="1149">
        <f t="shared" si="19"/>
        <v>0</v>
      </c>
      <c r="AJ327" s="1149">
        <f t="shared" si="19"/>
        <v>0</v>
      </c>
      <c r="AK327" s="1149">
        <f t="shared" si="19"/>
        <v>0</v>
      </c>
      <c r="AL327" s="1149">
        <f t="shared" si="19"/>
        <v>0</v>
      </c>
    </row>
    <row r="328" spans="1:38" ht="36" outlineLevel="1" x14ac:dyDescent="0.35">
      <c r="A328" s="1150" t="s">
        <v>1460</v>
      </c>
      <c r="B328" s="1151"/>
      <c r="C328" s="1152"/>
      <c r="D328" s="1153"/>
      <c r="E328" s="1154"/>
      <c r="F328" s="1155"/>
      <c r="G328" s="1155"/>
      <c r="H328" s="1155"/>
      <c r="I328" s="1155"/>
      <c r="J328" s="1155"/>
      <c r="K328" s="1155"/>
      <c r="L328" s="1155"/>
      <c r="M328" s="1155"/>
      <c r="N328" s="1155"/>
      <c r="O328" s="1155"/>
      <c r="P328" s="1155"/>
      <c r="Q328" s="1155"/>
      <c r="R328" s="1155"/>
      <c r="S328" s="1155"/>
      <c r="T328" s="1155"/>
      <c r="U328" s="1155"/>
      <c r="V328" s="1155"/>
      <c r="W328" s="1155"/>
      <c r="X328" s="1155"/>
      <c r="Y328" s="1155"/>
      <c r="Z328" s="1155"/>
      <c r="AA328" s="1155"/>
      <c r="AB328" s="1155"/>
      <c r="AC328" s="1155"/>
      <c r="AD328" s="1155"/>
      <c r="AE328" s="1155"/>
      <c r="AF328" s="1155"/>
      <c r="AG328" s="1155"/>
      <c r="AH328" s="1155"/>
      <c r="AI328" s="1155"/>
      <c r="AJ328" s="1156"/>
      <c r="AK328" s="1156"/>
      <c r="AL328" s="1157"/>
    </row>
    <row r="329" spans="1:38" hidden="1" outlineLevel="2" x14ac:dyDescent="0.3">
      <c r="A329" s="1158"/>
      <c r="B329" s="1159"/>
      <c r="C329" s="1160"/>
      <c r="D329" s="1161"/>
      <c r="E329" s="1162"/>
      <c r="F329" s="1163"/>
      <c r="G329" s="1163"/>
      <c r="H329" s="1163"/>
      <c r="I329" s="1163"/>
      <c r="J329" s="1163"/>
      <c r="K329" s="1163"/>
      <c r="L329" s="1163"/>
      <c r="M329" s="1163"/>
      <c r="N329" s="1163"/>
      <c r="O329" s="1163"/>
      <c r="P329" s="1163"/>
      <c r="Q329" s="1163"/>
      <c r="R329" s="1163"/>
      <c r="S329" s="1163"/>
      <c r="T329" s="1163"/>
      <c r="U329" s="1163"/>
      <c r="V329" s="1163"/>
      <c r="W329" s="1163"/>
      <c r="X329" s="1163"/>
      <c r="Y329" s="1163"/>
      <c r="Z329" s="1163"/>
      <c r="AA329" s="1163"/>
      <c r="AB329" s="1163"/>
      <c r="AC329" s="1163"/>
      <c r="AD329" s="1163"/>
      <c r="AE329" s="1163"/>
      <c r="AF329" s="1163"/>
      <c r="AG329" s="1163"/>
      <c r="AH329" s="1163"/>
      <c r="AI329" s="1163"/>
      <c r="AJ329" s="1164"/>
      <c r="AK329" s="1164"/>
      <c r="AL329" s="1165"/>
    </row>
    <row r="330" spans="1:38" hidden="1" outlineLevel="2" x14ac:dyDescent="0.3">
      <c r="A330" s="1158"/>
      <c r="B330" s="1159"/>
      <c r="C330" s="1160"/>
      <c r="D330" s="1161"/>
      <c r="E330" s="1162"/>
      <c r="F330" s="1163"/>
      <c r="G330" s="1163"/>
      <c r="H330" s="1163"/>
      <c r="I330" s="1163"/>
      <c r="J330" s="1163"/>
      <c r="K330" s="1163"/>
      <c r="L330" s="1163"/>
      <c r="M330" s="1163"/>
      <c r="N330" s="1163"/>
      <c r="O330" s="1163"/>
      <c r="P330" s="1163"/>
      <c r="Q330" s="1163"/>
      <c r="R330" s="1163"/>
      <c r="S330" s="1163"/>
      <c r="T330" s="1163"/>
      <c r="U330" s="1163"/>
      <c r="V330" s="1163"/>
      <c r="W330" s="1163"/>
      <c r="X330" s="1163"/>
      <c r="Y330" s="1163"/>
      <c r="Z330" s="1163"/>
      <c r="AA330" s="1163"/>
      <c r="AB330" s="1163"/>
      <c r="AC330" s="1163"/>
      <c r="AD330" s="1163"/>
      <c r="AE330" s="1163"/>
      <c r="AF330" s="1163"/>
      <c r="AG330" s="1163"/>
      <c r="AH330" s="1163"/>
      <c r="AI330" s="1163"/>
      <c r="AJ330" s="1164"/>
      <c r="AK330" s="1164"/>
      <c r="AL330" s="1165"/>
    </row>
    <row r="331" spans="1:38" hidden="1" outlineLevel="2" x14ac:dyDescent="0.3">
      <c r="A331" s="1158"/>
      <c r="B331" s="1159"/>
      <c r="C331" s="1160"/>
      <c r="D331" s="1161"/>
      <c r="E331" s="1162"/>
      <c r="F331" s="1163"/>
      <c r="G331" s="1163"/>
      <c r="H331" s="1163"/>
      <c r="I331" s="1163"/>
      <c r="J331" s="1163"/>
      <c r="K331" s="1163"/>
      <c r="L331" s="1163"/>
      <c r="M331" s="1163"/>
      <c r="N331" s="1163"/>
      <c r="O331" s="1163"/>
      <c r="P331" s="1163"/>
      <c r="Q331" s="1163"/>
      <c r="R331" s="1163"/>
      <c r="S331" s="1163"/>
      <c r="T331" s="1163"/>
      <c r="U331" s="1163"/>
      <c r="V331" s="1163"/>
      <c r="W331" s="1163"/>
      <c r="X331" s="1163"/>
      <c r="Y331" s="1163"/>
      <c r="Z331" s="1163"/>
      <c r="AA331" s="1163"/>
      <c r="AB331" s="1163"/>
      <c r="AC331" s="1163"/>
      <c r="AD331" s="1163"/>
      <c r="AE331" s="1163"/>
      <c r="AF331" s="1163"/>
      <c r="AG331" s="1163"/>
      <c r="AH331" s="1163"/>
      <c r="AI331" s="1163"/>
      <c r="AJ331" s="1164"/>
      <c r="AK331" s="1164"/>
      <c r="AL331" s="1165"/>
    </row>
    <row r="332" spans="1:38" hidden="1" outlineLevel="2" x14ac:dyDescent="0.3">
      <c r="A332" s="1158"/>
      <c r="B332" s="1166"/>
      <c r="C332" s="1167"/>
      <c r="D332" s="1168"/>
      <c r="E332" s="1169"/>
      <c r="F332" s="1170"/>
      <c r="G332" s="1170"/>
      <c r="H332" s="1170"/>
      <c r="I332" s="1170"/>
      <c r="J332" s="1170"/>
      <c r="K332" s="1170"/>
      <c r="L332" s="1170"/>
      <c r="M332" s="1170"/>
      <c r="N332" s="1170"/>
      <c r="O332" s="1170"/>
      <c r="P332" s="1170"/>
      <c r="Q332" s="1170"/>
      <c r="R332" s="1170"/>
      <c r="S332" s="1170"/>
      <c r="T332" s="1170"/>
      <c r="U332" s="1170"/>
      <c r="V332" s="1170"/>
      <c r="W332" s="1170"/>
      <c r="X332" s="1170"/>
      <c r="Y332" s="1170"/>
      <c r="Z332" s="1170"/>
      <c r="AA332" s="1170"/>
      <c r="AB332" s="1170"/>
      <c r="AC332" s="1170"/>
      <c r="AD332" s="1170"/>
      <c r="AE332" s="1170"/>
      <c r="AF332" s="1170"/>
      <c r="AG332" s="1170"/>
      <c r="AH332" s="1170"/>
      <c r="AI332" s="1170"/>
      <c r="AJ332" s="1171"/>
      <c r="AK332" s="1171"/>
      <c r="AL332" s="1172"/>
    </row>
    <row r="333" spans="1:38" hidden="1" outlineLevel="2" x14ac:dyDescent="0.3">
      <c r="A333" s="1158"/>
      <c r="B333" s="1166"/>
      <c r="C333" s="1167"/>
      <c r="D333" s="1168"/>
      <c r="E333" s="1169"/>
      <c r="F333" s="1170"/>
      <c r="G333" s="1170"/>
      <c r="H333" s="1170"/>
      <c r="I333" s="1170"/>
      <c r="J333" s="1170"/>
      <c r="K333" s="1170"/>
      <c r="L333" s="1170"/>
      <c r="M333" s="1170"/>
      <c r="N333" s="1170"/>
      <c r="O333" s="1170"/>
      <c r="P333" s="1170"/>
      <c r="Q333" s="1170"/>
      <c r="R333" s="1170"/>
      <c r="S333" s="1170"/>
      <c r="T333" s="1170"/>
      <c r="U333" s="1170"/>
      <c r="V333" s="1170"/>
      <c r="W333" s="1170"/>
      <c r="X333" s="1170"/>
      <c r="Y333" s="1170"/>
      <c r="Z333" s="1170"/>
      <c r="AA333" s="1170"/>
      <c r="AB333" s="1170"/>
      <c r="AC333" s="1170"/>
      <c r="AD333" s="1170"/>
      <c r="AE333" s="1170"/>
      <c r="AF333" s="1170"/>
      <c r="AG333" s="1170"/>
      <c r="AH333" s="1170"/>
      <c r="AI333" s="1170"/>
      <c r="AJ333" s="1171"/>
      <c r="AK333" s="1171"/>
      <c r="AL333" s="1172"/>
    </row>
    <row r="334" spans="1:38" hidden="1" outlineLevel="2" x14ac:dyDescent="0.3">
      <c r="A334" s="1158"/>
      <c r="B334" s="1166"/>
      <c r="C334" s="1167"/>
      <c r="D334" s="1168"/>
      <c r="E334" s="1169"/>
      <c r="F334" s="1170"/>
      <c r="G334" s="1170"/>
      <c r="H334" s="1170"/>
      <c r="I334" s="1170"/>
      <c r="J334" s="1170"/>
      <c r="K334" s="1170"/>
      <c r="L334" s="1170"/>
      <c r="M334" s="1170"/>
      <c r="N334" s="1170"/>
      <c r="O334" s="1170"/>
      <c r="P334" s="1170"/>
      <c r="Q334" s="1170"/>
      <c r="R334" s="1170"/>
      <c r="S334" s="1170"/>
      <c r="T334" s="1170"/>
      <c r="U334" s="1170"/>
      <c r="V334" s="1170"/>
      <c r="W334" s="1170"/>
      <c r="X334" s="1170"/>
      <c r="Y334" s="1170"/>
      <c r="Z334" s="1170"/>
      <c r="AA334" s="1170"/>
      <c r="AB334" s="1170"/>
      <c r="AC334" s="1170"/>
      <c r="AD334" s="1170"/>
      <c r="AE334" s="1170"/>
      <c r="AF334" s="1170"/>
      <c r="AG334" s="1170"/>
      <c r="AH334" s="1170"/>
      <c r="AI334" s="1170"/>
      <c r="AJ334" s="1171"/>
      <c r="AK334" s="1171"/>
      <c r="AL334" s="1172"/>
    </row>
    <row r="335" spans="1:38" hidden="1" outlineLevel="2" x14ac:dyDescent="0.3">
      <c r="A335" s="1158"/>
      <c r="B335" s="1166"/>
      <c r="C335" s="1167"/>
      <c r="D335" s="1168"/>
      <c r="E335" s="1169"/>
      <c r="F335" s="1170"/>
      <c r="G335" s="1170"/>
      <c r="H335" s="1170"/>
      <c r="I335" s="1170"/>
      <c r="J335" s="1170"/>
      <c r="K335" s="1170"/>
      <c r="L335" s="1170"/>
      <c r="M335" s="1170"/>
      <c r="N335" s="1170"/>
      <c r="O335" s="1170"/>
      <c r="P335" s="1170"/>
      <c r="Q335" s="1170"/>
      <c r="R335" s="1170"/>
      <c r="S335" s="1170"/>
      <c r="T335" s="1170"/>
      <c r="U335" s="1170"/>
      <c r="V335" s="1170"/>
      <c r="W335" s="1170"/>
      <c r="X335" s="1170"/>
      <c r="Y335" s="1170"/>
      <c r="Z335" s="1170"/>
      <c r="AA335" s="1170"/>
      <c r="AB335" s="1170"/>
      <c r="AC335" s="1170"/>
      <c r="AD335" s="1170"/>
      <c r="AE335" s="1170"/>
      <c r="AF335" s="1170"/>
      <c r="AG335" s="1170"/>
      <c r="AH335" s="1170"/>
      <c r="AI335" s="1170"/>
      <c r="AJ335" s="1171"/>
      <c r="AK335" s="1171"/>
      <c r="AL335" s="1172"/>
    </row>
    <row r="336" spans="1:38" hidden="1" outlineLevel="2" x14ac:dyDescent="0.3">
      <c r="A336" s="1158"/>
      <c r="B336" s="1166"/>
      <c r="C336" s="1167"/>
      <c r="D336" s="1168"/>
      <c r="E336" s="1169"/>
      <c r="F336" s="1170"/>
      <c r="G336" s="1170"/>
      <c r="H336" s="1170"/>
      <c r="I336" s="1170"/>
      <c r="J336" s="1170"/>
      <c r="K336" s="1170"/>
      <c r="L336" s="1170"/>
      <c r="M336" s="1170"/>
      <c r="N336" s="1170"/>
      <c r="O336" s="1170"/>
      <c r="P336" s="1170"/>
      <c r="Q336" s="1170"/>
      <c r="R336" s="1170"/>
      <c r="S336" s="1170"/>
      <c r="T336" s="1170"/>
      <c r="U336" s="1170"/>
      <c r="V336" s="1170"/>
      <c r="W336" s="1170"/>
      <c r="X336" s="1170"/>
      <c r="Y336" s="1170"/>
      <c r="Z336" s="1170"/>
      <c r="AA336" s="1170"/>
      <c r="AB336" s="1170"/>
      <c r="AC336" s="1170"/>
      <c r="AD336" s="1170"/>
      <c r="AE336" s="1170"/>
      <c r="AF336" s="1170"/>
      <c r="AG336" s="1170"/>
      <c r="AH336" s="1170"/>
      <c r="AI336" s="1170"/>
      <c r="AJ336" s="1171"/>
      <c r="AK336" s="1171"/>
      <c r="AL336" s="1172"/>
    </row>
    <row r="337" spans="1:38" hidden="1" outlineLevel="2" x14ac:dyDescent="0.3">
      <c r="A337" s="1158"/>
      <c r="B337" s="1166"/>
      <c r="C337" s="1167"/>
      <c r="D337" s="1168"/>
      <c r="E337" s="1169"/>
      <c r="F337" s="1170"/>
      <c r="G337" s="1170"/>
      <c r="H337" s="1170"/>
      <c r="I337" s="1170"/>
      <c r="J337" s="1170"/>
      <c r="K337" s="1170"/>
      <c r="L337" s="1170"/>
      <c r="M337" s="1170"/>
      <c r="N337" s="1170"/>
      <c r="O337" s="1170"/>
      <c r="P337" s="1170"/>
      <c r="Q337" s="1170"/>
      <c r="R337" s="1170"/>
      <c r="S337" s="1170"/>
      <c r="T337" s="1170"/>
      <c r="U337" s="1170"/>
      <c r="V337" s="1170"/>
      <c r="W337" s="1170"/>
      <c r="X337" s="1170"/>
      <c r="Y337" s="1170"/>
      <c r="Z337" s="1170"/>
      <c r="AA337" s="1170"/>
      <c r="AB337" s="1170"/>
      <c r="AC337" s="1170"/>
      <c r="AD337" s="1170"/>
      <c r="AE337" s="1170"/>
      <c r="AF337" s="1170"/>
      <c r="AG337" s="1170"/>
      <c r="AH337" s="1170"/>
      <c r="AI337" s="1170"/>
      <c r="AJ337" s="1171"/>
      <c r="AK337" s="1171"/>
      <c r="AL337" s="1172"/>
    </row>
    <row r="338" spans="1:38" ht="15" outlineLevel="1" collapsed="1" thickBot="1" x14ac:dyDescent="0.35">
      <c r="A338" s="1158"/>
      <c r="B338" s="1173" t="s">
        <v>550</v>
      </c>
      <c r="C338" s="1174"/>
      <c r="D338" s="1175"/>
      <c r="E338" s="1176">
        <f>SUBTOTAL(9,E329:E331)</f>
        <v>0</v>
      </c>
      <c r="F338" s="1177"/>
      <c r="G338" s="1177">
        <f>SUBTOTAL(9,G329:G331)</f>
        <v>0</v>
      </c>
      <c r="H338" s="1177"/>
      <c r="I338" s="1177">
        <f>SUBTOTAL(9,I329:I331)</f>
        <v>0</v>
      </c>
      <c r="J338" s="1177"/>
      <c r="K338" s="1177">
        <f>SUBTOTAL(9,K329:K331)</f>
        <v>0</v>
      </c>
      <c r="L338" s="1177"/>
      <c r="M338" s="1177">
        <f>SUBTOTAL(9,M329:M331)</f>
        <v>0</v>
      </c>
      <c r="N338" s="1177"/>
      <c r="O338" s="1177">
        <f>SUBTOTAL(9,O329:O331)</f>
        <v>0</v>
      </c>
      <c r="P338" s="1177"/>
      <c r="Q338" s="1177">
        <f>SUBTOTAL(9,Q329:Q331)</f>
        <v>0</v>
      </c>
      <c r="R338" s="1177"/>
      <c r="S338" s="1177">
        <f>SUBTOTAL(9,S329:S331)</f>
        <v>0</v>
      </c>
      <c r="T338" s="1177"/>
      <c r="U338" s="1177">
        <f>SUBTOTAL(9,U329:U331)</f>
        <v>0</v>
      </c>
      <c r="V338" s="1177"/>
      <c r="W338" s="1177">
        <f>SUBTOTAL(9,W329:W331)</f>
        <v>0</v>
      </c>
      <c r="X338" s="1177"/>
      <c r="Y338" s="1177">
        <f>SUBTOTAL(9,Y329:Y331)</f>
        <v>0</v>
      </c>
      <c r="Z338" s="1177"/>
      <c r="AA338" s="1177">
        <f>SUBTOTAL(9,AA329:AA331)</f>
        <v>0</v>
      </c>
      <c r="AB338" s="1177"/>
      <c r="AC338" s="1177">
        <f>SUBTOTAL(9,AC329:AC331)</f>
        <v>0</v>
      </c>
      <c r="AD338" s="1177"/>
      <c r="AE338" s="1177">
        <f>SUBTOTAL(9,AE329:AE331)</f>
        <v>0</v>
      </c>
      <c r="AF338" s="1177"/>
      <c r="AG338" s="1177">
        <f>SUBTOTAL(9,AG329:AG331)</f>
        <v>0</v>
      </c>
      <c r="AH338" s="1177"/>
      <c r="AI338" s="1177">
        <f>SUBTOTAL(9,AI329:AI331)</f>
        <v>0</v>
      </c>
      <c r="AJ338" s="1178"/>
      <c r="AK338" s="1178"/>
      <c r="AL338" s="1179"/>
    </row>
    <row r="339" spans="1:38" ht="18" outlineLevel="1" x14ac:dyDescent="0.35">
      <c r="A339" s="1180" t="s">
        <v>1464</v>
      </c>
      <c r="B339" s="1181"/>
      <c r="C339" s="1182"/>
      <c r="D339" s="1183"/>
      <c r="E339" s="1184"/>
      <c r="F339" s="1185"/>
      <c r="G339" s="1185"/>
      <c r="H339" s="1185"/>
      <c r="I339" s="1185"/>
      <c r="J339" s="1185"/>
      <c r="K339" s="1185"/>
      <c r="L339" s="1185"/>
      <c r="M339" s="1185"/>
      <c r="N339" s="1185"/>
      <c r="O339" s="1185"/>
      <c r="P339" s="1185"/>
      <c r="Q339" s="1185"/>
      <c r="R339" s="1185"/>
      <c r="S339" s="1185"/>
      <c r="T339" s="1185"/>
      <c r="U339" s="1185"/>
      <c r="V339" s="1185"/>
      <c r="W339" s="1185"/>
      <c r="X339" s="1185"/>
      <c r="Y339" s="1185"/>
      <c r="Z339" s="1185"/>
      <c r="AA339" s="1185"/>
      <c r="AB339" s="1185"/>
      <c r="AC339" s="1185"/>
      <c r="AD339" s="1185"/>
      <c r="AE339" s="1185"/>
      <c r="AF339" s="1185"/>
      <c r="AG339" s="1185"/>
      <c r="AH339" s="1185"/>
      <c r="AI339" s="1185"/>
      <c r="AJ339" s="1186"/>
      <c r="AK339" s="1186"/>
      <c r="AL339" s="1187"/>
    </row>
    <row r="340" spans="1:38" hidden="1" outlineLevel="2" x14ac:dyDescent="0.3">
      <c r="A340" s="1188"/>
      <c r="B340" s="1189"/>
      <c r="C340" s="1190"/>
      <c r="D340" s="1191"/>
      <c r="E340" s="1192"/>
      <c r="F340" s="1193"/>
      <c r="G340" s="1193"/>
      <c r="H340" s="1193"/>
      <c r="I340" s="1193"/>
      <c r="J340" s="1193"/>
      <c r="K340" s="1193"/>
      <c r="L340" s="1193"/>
      <c r="M340" s="1193"/>
      <c r="N340" s="1193"/>
      <c r="O340" s="1193"/>
      <c r="P340" s="1193"/>
      <c r="Q340" s="1193"/>
      <c r="R340" s="1193"/>
      <c r="S340" s="1193"/>
      <c r="T340" s="1193"/>
      <c r="U340" s="1193"/>
      <c r="V340" s="1193"/>
      <c r="W340" s="1193"/>
      <c r="X340" s="1193"/>
      <c r="Y340" s="1193"/>
      <c r="Z340" s="1193"/>
      <c r="AA340" s="1193"/>
      <c r="AB340" s="1193"/>
      <c r="AC340" s="1193"/>
      <c r="AD340" s="1193"/>
      <c r="AE340" s="1193"/>
      <c r="AF340" s="1193"/>
      <c r="AG340" s="1193"/>
      <c r="AH340" s="1193"/>
      <c r="AI340" s="1193"/>
      <c r="AJ340" s="1194"/>
      <c r="AK340" s="1194"/>
      <c r="AL340" s="1195"/>
    </row>
    <row r="341" spans="1:38" hidden="1" outlineLevel="2" x14ac:dyDescent="0.3">
      <c r="A341" s="1188"/>
      <c r="B341" s="1189"/>
      <c r="C341" s="1190"/>
      <c r="D341" s="1191"/>
      <c r="E341" s="1192"/>
      <c r="F341" s="1193"/>
      <c r="G341" s="1193"/>
      <c r="H341" s="1193"/>
      <c r="I341" s="1193"/>
      <c r="J341" s="1193"/>
      <c r="K341" s="1193"/>
      <c r="L341" s="1193"/>
      <c r="M341" s="1193"/>
      <c r="N341" s="1193"/>
      <c r="O341" s="1193"/>
      <c r="P341" s="1193"/>
      <c r="Q341" s="1193"/>
      <c r="R341" s="1193"/>
      <c r="S341" s="1193"/>
      <c r="T341" s="1193"/>
      <c r="U341" s="1193"/>
      <c r="V341" s="1193"/>
      <c r="W341" s="1193"/>
      <c r="X341" s="1193"/>
      <c r="Y341" s="1193"/>
      <c r="Z341" s="1193"/>
      <c r="AA341" s="1193"/>
      <c r="AB341" s="1193"/>
      <c r="AC341" s="1193"/>
      <c r="AD341" s="1193"/>
      <c r="AE341" s="1193"/>
      <c r="AF341" s="1193"/>
      <c r="AG341" s="1193"/>
      <c r="AH341" s="1193"/>
      <c r="AI341" s="1193"/>
      <c r="AJ341" s="1194"/>
      <c r="AK341" s="1194"/>
      <c r="AL341" s="1195"/>
    </row>
    <row r="342" spans="1:38" hidden="1" outlineLevel="2" x14ac:dyDescent="0.3">
      <c r="A342" s="1188"/>
      <c r="B342" s="1196"/>
      <c r="C342" s="1197"/>
      <c r="D342" s="1198"/>
      <c r="E342" s="1199"/>
      <c r="F342" s="1200"/>
      <c r="G342" s="1200"/>
      <c r="H342" s="1200"/>
      <c r="I342" s="1200"/>
      <c r="J342" s="1200"/>
      <c r="K342" s="1200"/>
      <c r="L342" s="1200"/>
      <c r="M342" s="1200"/>
      <c r="N342" s="1200"/>
      <c r="O342" s="1200"/>
      <c r="P342" s="1200"/>
      <c r="Q342" s="1200"/>
      <c r="R342" s="1200"/>
      <c r="S342" s="1200"/>
      <c r="T342" s="1200"/>
      <c r="U342" s="1200"/>
      <c r="V342" s="1200"/>
      <c r="W342" s="1200"/>
      <c r="X342" s="1200"/>
      <c r="Y342" s="1200"/>
      <c r="Z342" s="1200"/>
      <c r="AA342" s="1200"/>
      <c r="AB342" s="1200"/>
      <c r="AC342" s="1200"/>
      <c r="AD342" s="1200"/>
      <c r="AE342" s="1200"/>
      <c r="AF342" s="1200"/>
      <c r="AG342" s="1200"/>
      <c r="AH342" s="1200"/>
      <c r="AI342" s="1200"/>
      <c r="AJ342" s="1201"/>
      <c r="AK342" s="1201"/>
      <c r="AL342" s="1202"/>
    </row>
    <row r="343" spans="1:38" hidden="1" outlineLevel="2" x14ac:dyDescent="0.3">
      <c r="A343" s="1188"/>
      <c r="B343" s="1196"/>
      <c r="C343" s="1197"/>
      <c r="D343" s="1198"/>
      <c r="E343" s="1199"/>
      <c r="F343" s="1200"/>
      <c r="G343" s="1200"/>
      <c r="H343" s="1200"/>
      <c r="I343" s="1200"/>
      <c r="J343" s="1200"/>
      <c r="K343" s="1200"/>
      <c r="L343" s="1200"/>
      <c r="M343" s="1200"/>
      <c r="N343" s="1200"/>
      <c r="O343" s="1200"/>
      <c r="P343" s="1200"/>
      <c r="Q343" s="1200"/>
      <c r="R343" s="1200"/>
      <c r="S343" s="1200"/>
      <c r="T343" s="1200"/>
      <c r="U343" s="1200"/>
      <c r="V343" s="1200"/>
      <c r="W343" s="1200"/>
      <c r="X343" s="1200"/>
      <c r="Y343" s="1200"/>
      <c r="Z343" s="1200"/>
      <c r="AA343" s="1200"/>
      <c r="AB343" s="1200"/>
      <c r="AC343" s="1200"/>
      <c r="AD343" s="1200"/>
      <c r="AE343" s="1200"/>
      <c r="AF343" s="1200"/>
      <c r="AG343" s="1200"/>
      <c r="AH343" s="1200"/>
      <c r="AI343" s="1200"/>
      <c r="AJ343" s="1201"/>
      <c r="AK343" s="1201"/>
      <c r="AL343" s="1202"/>
    </row>
    <row r="344" spans="1:38" hidden="1" outlineLevel="2" x14ac:dyDescent="0.3">
      <c r="A344" s="1188"/>
      <c r="B344" s="1196"/>
      <c r="C344" s="1197"/>
      <c r="D344" s="1198"/>
      <c r="E344" s="1199"/>
      <c r="F344" s="1200"/>
      <c r="G344" s="1200"/>
      <c r="H344" s="1200"/>
      <c r="I344" s="1200"/>
      <c r="J344" s="1200"/>
      <c r="K344" s="1200"/>
      <c r="L344" s="1200"/>
      <c r="M344" s="1200"/>
      <c r="N344" s="1200"/>
      <c r="O344" s="1200"/>
      <c r="P344" s="1200"/>
      <c r="Q344" s="1200"/>
      <c r="R344" s="1200"/>
      <c r="S344" s="1200"/>
      <c r="T344" s="1200"/>
      <c r="U344" s="1200"/>
      <c r="V344" s="1200"/>
      <c r="W344" s="1200"/>
      <c r="X344" s="1200"/>
      <c r="Y344" s="1200"/>
      <c r="Z344" s="1200"/>
      <c r="AA344" s="1200"/>
      <c r="AB344" s="1200"/>
      <c r="AC344" s="1200"/>
      <c r="AD344" s="1200"/>
      <c r="AE344" s="1200"/>
      <c r="AF344" s="1200"/>
      <c r="AG344" s="1200"/>
      <c r="AH344" s="1200"/>
      <c r="AI344" s="1200"/>
      <c r="AJ344" s="1201"/>
      <c r="AK344" s="1201"/>
      <c r="AL344" s="1202"/>
    </row>
    <row r="345" spans="1:38" hidden="1" outlineLevel="2" x14ac:dyDescent="0.3">
      <c r="A345" s="1188"/>
      <c r="B345" s="1196"/>
      <c r="C345" s="1197"/>
      <c r="D345" s="1198"/>
      <c r="E345" s="1199"/>
      <c r="F345" s="1200"/>
      <c r="G345" s="1200"/>
      <c r="H345" s="1200"/>
      <c r="I345" s="1200"/>
      <c r="J345" s="1200"/>
      <c r="K345" s="1200"/>
      <c r="L345" s="1200"/>
      <c r="M345" s="1200"/>
      <c r="N345" s="1200"/>
      <c r="O345" s="1200"/>
      <c r="P345" s="1200"/>
      <c r="Q345" s="1200"/>
      <c r="R345" s="1200"/>
      <c r="S345" s="1200"/>
      <c r="T345" s="1200"/>
      <c r="U345" s="1200"/>
      <c r="V345" s="1200"/>
      <c r="W345" s="1200"/>
      <c r="X345" s="1200"/>
      <c r="Y345" s="1200"/>
      <c r="Z345" s="1200"/>
      <c r="AA345" s="1200"/>
      <c r="AB345" s="1200"/>
      <c r="AC345" s="1200"/>
      <c r="AD345" s="1200"/>
      <c r="AE345" s="1200"/>
      <c r="AF345" s="1200"/>
      <c r="AG345" s="1200"/>
      <c r="AH345" s="1200"/>
      <c r="AI345" s="1200"/>
      <c r="AJ345" s="1201"/>
      <c r="AK345" s="1201"/>
      <c r="AL345" s="1202"/>
    </row>
    <row r="346" spans="1:38" hidden="1" outlineLevel="2" x14ac:dyDescent="0.3">
      <c r="A346" s="1188"/>
      <c r="B346" s="1196"/>
      <c r="C346" s="1197"/>
      <c r="D346" s="1198"/>
      <c r="E346" s="1199"/>
      <c r="F346" s="1200"/>
      <c r="G346" s="1200"/>
      <c r="H346" s="1200"/>
      <c r="I346" s="1200"/>
      <c r="J346" s="1200"/>
      <c r="K346" s="1200"/>
      <c r="L346" s="1200"/>
      <c r="M346" s="1200"/>
      <c r="N346" s="1200"/>
      <c r="O346" s="1200"/>
      <c r="P346" s="1200"/>
      <c r="Q346" s="1200"/>
      <c r="R346" s="1200"/>
      <c r="S346" s="1200"/>
      <c r="T346" s="1200"/>
      <c r="U346" s="1200"/>
      <c r="V346" s="1200"/>
      <c r="W346" s="1200"/>
      <c r="X346" s="1200"/>
      <c r="Y346" s="1200"/>
      <c r="Z346" s="1200"/>
      <c r="AA346" s="1200"/>
      <c r="AB346" s="1200"/>
      <c r="AC346" s="1200"/>
      <c r="AD346" s="1200"/>
      <c r="AE346" s="1200"/>
      <c r="AF346" s="1200"/>
      <c r="AG346" s="1200"/>
      <c r="AH346" s="1200"/>
      <c r="AI346" s="1200"/>
      <c r="AJ346" s="1201"/>
      <c r="AK346" s="1201"/>
      <c r="AL346" s="1202"/>
    </row>
    <row r="347" spans="1:38" ht="15" outlineLevel="1" collapsed="1" thickBot="1" x14ac:dyDescent="0.35">
      <c r="A347" s="1188"/>
      <c r="B347" s="1203" t="s">
        <v>550</v>
      </c>
      <c r="C347" s="1204"/>
      <c r="D347" s="1205"/>
      <c r="E347" s="1206">
        <f>SUBTOTAL(9,E339:E341)</f>
        <v>0</v>
      </c>
      <c r="F347" s="1207"/>
      <c r="G347" s="1207">
        <f>SUBTOTAL(9,G339:G341)</f>
        <v>0</v>
      </c>
      <c r="H347" s="1207"/>
      <c r="I347" s="1207">
        <f>SUBTOTAL(9,I339:I341)</f>
        <v>0</v>
      </c>
      <c r="J347" s="1207"/>
      <c r="K347" s="1207">
        <f>SUBTOTAL(9,K339:K341)</f>
        <v>0</v>
      </c>
      <c r="L347" s="1207"/>
      <c r="M347" s="1207">
        <f>SUBTOTAL(9,M339:M341)</f>
        <v>0</v>
      </c>
      <c r="N347" s="1207"/>
      <c r="O347" s="1207">
        <f>SUBTOTAL(9,O339:O341)</f>
        <v>0</v>
      </c>
      <c r="P347" s="1207"/>
      <c r="Q347" s="1207">
        <f>SUBTOTAL(9,Q339:Q341)</f>
        <v>0</v>
      </c>
      <c r="R347" s="1207"/>
      <c r="S347" s="1207">
        <f>SUBTOTAL(9,S339:S341)</f>
        <v>0</v>
      </c>
      <c r="T347" s="1207"/>
      <c r="U347" s="1207">
        <f>SUBTOTAL(9,U339:U341)</f>
        <v>0</v>
      </c>
      <c r="V347" s="1207"/>
      <c r="W347" s="1207">
        <f>SUBTOTAL(9,W339:W341)</f>
        <v>0</v>
      </c>
      <c r="X347" s="1207"/>
      <c r="Y347" s="1207">
        <f>SUBTOTAL(9,Y339:Y341)</f>
        <v>0</v>
      </c>
      <c r="Z347" s="1207"/>
      <c r="AA347" s="1207">
        <f>SUBTOTAL(9,AA339:AA341)</f>
        <v>0</v>
      </c>
      <c r="AB347" s="1207"/>
      <c r="AC347" s="1207">
        <f>SUBTOTAL(9,AC339:AC341)</f>
        <v>0</v>
      </c>
      <c r="AD347" s="1207"/>
      <c r="AE347" s="1207">
        <f>SUBTOTAL(9,AE339:AE341)</f>
        <v>0</v>
      </c>
      <c r="AF347" s="1207"/>
      <c r="AG347" s="1207">
        <f>SUBTOTAL(9,AG339:AG341)</f>
        <v>0</v>
      </c>
      <c r="AH347" s="1207"/>
      <c r="AI347" s="1207">
        <f>SUBTOTAL(9,AI339:AI341)</f>
        <v>0</v>
      </c>
      <c r="AJ347" s="1208"/>
      <c r="AK347" s="1208"/>
      <c r="AL347" s="1209"/>
    </row>
    <row r="348" spans="1:38" x14ac:dyDescent="0.3">
      <c r="A348" s="98"/>
      <c r="B348" s="660"/>
      <c r="C348" s="660"/>
      <c r="D348" s="660"/>
      <c r="E348" s="941">
        <f>SUM(E347,E338,E327)</f>
        <v>0</v>
      </c>
      <c r="F348" s="941"/>
      <c r="G348" s="941">
        <f>SUM(G347,G338,G327)</f>
        <v>0</v>
      </c>
      <c r="H348" s="941"/>
      <c r="I348" s="941">
        <f>SUM(I347,I338,I327)</f>
        <v>0</v>
      </c>
      <c r="J348" s="941"/>
      <c r="K348" s="941">
        <v>9600</v>
      </c>
      <c r="L348" s="941"/>
      <c r="M348" s="941">
        <f>SUM(M347,M338,M327)</f>
        <v>0</v>
      </c>
      <c r="N348" s="941"/>
      <c r="O348" s="941">
        <f>SUM(O347,O338,O327)</f>
        <v>0</v>
      </c>
      <c r="P348" s="941"/>
      <c r="Q348" s="941">
        <f>SUM(Q347,Q338,Q327)</f>
        <v>0</v>
      </c>
      <c r="R348" s="941"/>
      <c r="S348" s="941">
        <f>SUM(S347,S338,S327)</f>
        <v>0</v>
      </c>
      <c r="T348" s="941"/>
      <c r="U348" s="941">
        <f>SUM(U347,U338,U327)</f>
        <v>0</v>
      </c>
      <c r="V348" s="941"/>
      <c r="W348" s="941">
        <f>SUM(W347,W338,W327)</f>
        <v>0</v>
      </c>
      <c r="X348" s="941"/>
      <c r="Y348" s="941">
        <f>SUM(Y347,Y338,Y327)</f>
        <v>0</v>
      </c>
      <c r="Z348" s="941"/>
      <c r="AA348" s="941">
        <f>SUM(AA347,AA338,AA327)</f>
        <v>0</v>
      </c>
      <c r="AB348" s="941"/>
      <c r="AC348" s="941">
        <f>SUM(AC347,AC338,AC327)</f>
        <v>0</v>
      </c>
      <c r="AD348" s="941"/>
      <c r="AE348" s="941">
        <f>SUM(AE347,AE338,AE327)</f>
        <v>0</v>
      </c>
      <c r="AF348" s="941"/>
      <c r="AG348" s="941">
        <f>SUM(AG347,AG338,AG327)</f>
        <v>0</v>
      </c>
      <c r="AH348" s="941"/>
      <c r="AI348" s="941">
        <f>SUM(AI347,AI338,AI327)</f>
        <v>0</v>
      </c>
      <c r="AJ348" s="941"/>
      <c r="AK348" s="941"/>
      <c r="AL348" s="941">
        <f>SUM(K348:AI348)-SUM(E348:I348)</f>
        <v>9600</v>
      </c>
    </row>
  </sheetData>
  <mergeCells count="1">
    <mergeCell ref="A32:D32"/>
  </mergeCells>
  <hyperlinks>
    <hyperlink ref="B11" location="Wiwi_AE_var" display="AE variabel" xr:uid="{00000000-0004-0000-0A00-000000000000}"/>
    <hyperlink ref="B12" location="Wiwi_RK_Int." display="Fahrtkosten und Verpflegungspauschalen" xr:uid="{00000000-0004-0000-0A00-000001000000}"/>
    <hyperlink ref="B13" location="Wiwi_R_U_Int." display="Raum- und Unterkunftskosten" xr:uid="{00000000-0004-0000-0A00-000002000000}"/>
    <hyperlink ref="B14" location="Wiwi_Bew.Int." display="Bewirtung und Repräsentation intern" xr:uid="{00000000-0004-0000-0A00-000003000000}"/>
    <hyperlink ref="B15" location="Wiwi_Hon_I" display="Honorare Fachseminare" xr:uid="{00000000-0004-0000-0A00-000004000000}"/>
    <hyperlink ref="B16" location="Wiwi_Hon_II" display="Andere Honorare" xr:uid="{00000000-0004-0000-0A00-000005000000}"/>
    <hyperlink ref="B17" location="Wiwi_R_U_Ext." display="Ext. Reisekosten" xr:uid="{00000000-0004-0000-0A00-000006000000}"/>
    <hyperlink ref="B18" location="Wiwi_Bew.Ext." display="Bewirtung und Repräsentation extern" xr:uid="{00000000-0004-0000-0A00-000007000000}"/>
    <hyperlink ref="B19" location="Wiwi_R_U_Ext." display="Raum- und Unterkunftskosten Seminare und Veranst." xr:uid="{00000000-0004-0000-0A00-000008000000}"/>
    <hyperlink ref="B20" location="Wiwi_Druck" display="Druckkosten" xr:uid="{00000000-0004-0000-0A00-000009000000}"/>
    <hyperlink ref="B21" location="Wiwi_Sonst." display="Sonstige Kosten (Lizenzen, Allg. Geschäftsbetrieb)" xr:uid="{00000000-0004-0000-0A00-00000A000000}"/>
    <hyperlink ref="B22" location="Rechtsk.FSen" display="Rechtsangelegenheiten" xr:uid="{00000000-0004-0000-0A00-00000B000000}"/>
    <hyperlink ref="B7" location="Wiwi_Sonst_Einnahmen" display="Sonstige Einnahmen (Vorauszahlungen Bewirtung, Werbung, …)" xr:uid="{00000000-0004-0000-0A00-00000C000000}"/>
    <hyperlink ref="B6" location="Wiwi_TN_Beiträge_II" display="Teilnahmebeiträge Veranstaltungen" xr:uid="{00000000-0004-0000-0A00-00000D000000}"/>
    <hyperlink ref="B5" location="Wiwi_TN_Beiträge_I" display="Teilnahmebeiträge Seminare" xr:uid="{00000000-0004-0000-0A00-00000E000000}"/>
  </hyperlinks>
  <pageMargins left="0.7" right="0.7" top="0.78740157499999996" bottom="0.78740157499999996"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AF89"/>
  <sheetViews>
    <sheetView showGridLines="0" zoomScaleNormal="100" workbookViewId="0">
      <selection activeCell="E23" sqref="E23"/>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77734375" customWidth="1"/>
    <col min="5" max="5" width="14.33203125" customWidth="1"/>
    <col min="6" max="6" width="14" customWidth="1"/>
    <col min="7" max="7" width="12.77734375" customWidth="1"/>
    <col min="8" max="8" width="13.33203125" customWidth="1"/>
    <col min="9" max="9" width="12.109375" customWidth="1"/>
    <col min="10" max="10" width="13.44140625" customWidth="1"/>
    <col min="11" max="11" width="12" customWidth="1"/>
  </cols>
  <sheetData>
    <row r="1" spans="1:14" ht="18" x14ac:dyDescent="0.35">
      <c r="A1" s="11"/>
      <c r="B1" s="7" t="s">
        <v>780</v>
      </c>
    </row>
    <row r="2" spans="1:14" ht="19.5" customHeight="1" thickBot="1" x14ac:dyDescent="0.35"/>
    <row r="3" spans="1:14" s="235" customFormat="1" ht="34.5" customHeight="1" thickBot="1" x14ac:dyDescent="0.35">
      <c r="A3" s="236" t="s">
        <v>1</v>
      </c>
      <c r="B3" s="385" t="s">
        <v>4</v>
      </c>
      <c r="C3" s="364" t="s">
        <v>717</v>
      </c>
      <c r="D3" s="365" t="s">
        <v>718</v>
      </c>
      <c r="E3" s="1332" t="s">
        <v>1558</v>
      </c>
      <c r="F3" s="1267" t="s">
        <v>2</v>
      </c>
      <c r="G3" s="366" t="s">
        <v>1553</v>
      </c>
      <c r="H3" s="366" t="s">
        <v>1370</v>
      </c>
      <c r="I3" s="1038" t="s">
        <v>1385</v>
      </c>
      <c r="J3" s="1038" t="s">
        <v>1386</v>
      </c>
      <c r="K3" s="231" t="s">
        <v>721</v>
      </c>
      <c r="L3" s="233" t="s">
        <v>7</v>
      </c>
      <c r="M3" s="234" t="s">
        <v>722</v>
      </c>
      <c r="N3" s="366" t="s">
        <v>723</v>
      </c>
    </row>
    <row r="4" spans="1:14" ht="18.75" customHeight="1" x14ac:dyDescent="0.3">
      <c r="A4" s="172" t="s">
        <v>724</v>
      </c>
      <c r="B4" s="173"/>
      <c r="C4" s="173"/>
      <c r="D4" s="173"/>
      <c r="E4" s="1082"/>
      <c r="F4" s="173"/>
      <c r="G4" s="1043"/>
      <c r="H4" s="1044"/>
      <c r="I4" s="1010"/>
      <c r="J4" s="1009"/>
      <c r="K4" s="1037"/>
      <c r="L4" s="174"/>
      <c r="M4" s="50"/>
      <c r="N4" s="80"/>
    </row>
    <row r="5" spans="1:14" x14ac:dyDescent="0.3">
      <c r="A5" s="175" t="s">
        <v>79</v>
      </c>
      <c r="B5" s="210" t="s">
        <v>650</v>
      </c>
      <c r="C5" s="146"/>
      <c r="D5" s="146"/>
      <c r="E5" s="1084">
        <v>13000</v>
      </c>
      <c r="F5" s="146"/>
      <c r="G5" s="170">
        <v>15500</v>
      </c>
      <c r="H5" s="1027"/>
      <c r="I5" s="1022">
        <v>19572.5</v>
      </c>
      <c r="J5" s="1012">
        <f>Tabelle410232731[[#Totals],[Teilnahmebeiträge Fachseminare]]</f>
        <v>19572.5</v>
      </c>
      <c r="K5" s="1002">
        <v>4500</v>
      </c>
      <c r="L5" s="743">
        <v>2550</v>
      </c>
      <c r="M5" s="176"/>
      <c r="N5" s="146"/>
    </row>
    <row r="6" spans="1:14" x14ac:dyDescent="0.3">
      <c r="A6" s="175" t="s">
        <v>87</v>
      </c>
      <c r="B6" s="210" t="s">
        <v>651</v>
      </c>
      <c r="C6" s="146"/>
      <c r="D6" s="146"/>
      <c r="E6" s="1328"/>
      <c r="F6" s="146"/>
      <c r="G6" s="170">
        <v>0</v>
      </c>
      <c r="H6" s="1027"/>
      <c r="I6" s="1022">
        <v>0</v>
      </c>
      <c r="J6" s="1012">
        <f>Tabelle410232731[[#Totals],[Teilnahmebeiträge Veranstaltungen]]+Tabelle513242832[[#Totals],[Teilnahmebeiträge Veranstaltungen]]</f>
        <v>0</v>
      </c>
      <c r="K6" s="1002">
        <v>0</v>
      </c>
      <c r="L6" s="743">
        <v>0</v>
      </c>
      <c r="M6" s="176"/>
      <c r="N6" s="146"/>
    </row>
    <row r="7" spans="1:14" ht="15" thickBot="1" x14ac:dyDescent="0.35">
      <c r="A7" s="175" t="s">
        <v>94</v>
      </c>
      <c r="B7" s="210" t="s">
        <v>725</v>
      </c>
      <c r="C7" s="146"/>
      <c r="D7" s="146"/>
      <c r="E7" s="1328"/>
      <c r="F7" s="146"/>
      <c r="G7" s="170">
        <v>0</v>
      </c>
      <c r="H7" s="1027"/>
      <c r="I7" s="1022">
        <v>0</v>
      </c>
      <c r="J7" s="1012">
        <f>Tabelle410232731[[#Totals],[Sonstige Einnahmen]]+Tabelle513242832[[#Totals],[Sonstige Einnahmen]]</f>
        <v>0</v>
      </c>
      <c r="K7" s="1002">
        <v>0</v>
      </c>
      <c r="L7" s="743">
        <v>0</v>
      </c>
      <c r="M7" s="176"/>
      <c r="N7" s="146"/>
    </row>
    <row r="8" spans="1:14" ht="15" thickBot="1" x14ac:dyDescent="0.35">
      <c r="A8" s="177"/>
      <c r="B8" s="178"/>
      <c r="C8" s="178"/>
      <c r="D8" s="178" t="s">
        <v>556</v>
      </c>
      <c r="E8" s="1261">
        <f t="shared" ref="E8:L8" si="0">SUBTOTAL(9,E5:E7)</f>
        <v>13000</v>
      </c>
      <c r="F8" s="1327">
        <f t="shared" si="0"/>
        <v>0</v>
      </c>
      <c r="G8" s="1045">
        <f t="shared" si="0"/>
        <v>15500</v>
      </c>
      <c r="H8" s="168">
        <f t="shared" si="0"/>
        <v>0</v>
      </c>
      <c r="I8" s="1055">
        <f t="shared" si="0"/>
        <v>19572.5</v>
      </c>
      <c r="J8" s="1013">
        <f t="shared" si="0"/>
        <v>19572.5</v>
      </c>
      <c r="K8" s="1003">
        <f t="shared" si="0"/>
        <v>4500</v>
      </c>
      <c r="L8" s="167">
        <f t="shared" si="0"/>
        <v>2550</v>
      </c>
      <c r="M8" s="179"/>
      <c r="N8" s="367"/>
    </row>
    <row r="9" spans="1:14" ht="18.75" customHeight="1" x14ac:dyDescent="0.3">
      <c r="A9" s="180" t="s">
        <v>119</v>
      </c>
      <c r="B9" s="181"/>
      <c r="C9" s="181"/>
      <c r="D9" s="181"/>
      <c r="E9" s="1089"/>
      <c r="F9" s="181"/>
      <c r="G9" s="169"/>
      <c r="H9" s="1029"/>
      <c r="I9" s="1004"/>
      <c r="J9" s="1014"/>
      <c r="K9" s="1004"/>
      <c r="L9" s="181"/>
      <c r="M9" s="182"/>
      <c r="N9" s="146"/>
    </row>
    <row r="10" spans="1:14" x14ac:dyDescent="0.3">
      <c r="A10" s="183" t="s">
        <v>134</v>
      </c>
      <c r="B10" s="146" t="s">
        <v>726</v>
      </c>
      <c r="C10" s="146"/>
      <c r="D10" s="146"/>
      <c r="E10" s="1246">
        <v>9600</v>
      </c>
      <c r="F10" s="146"/>
      <c r="G10" s="170">
        <v>9600</v>
      </c>
      <c r="H10" s="1031"/>
      <c r="I10" s="1023">
        <v>9600</v>
      </c>
      <c r="J10" s="1015">
        <f>800*12</f>
        <v>9600</v>
      </c>
      <c r="K10" s="1005">
        <f>800*12</f>
        <v>9600</v>
      </c>
      <c r="L10" s="743">
        <v>9600</v>
      </c>
      <c r="M10" s="176"/>
      <c r="N10" s="146"/>
    </row>
    <row r="11" spans="1:14" x14ac:dyDescent="0.3">
      <c r="A11" s="183" t="s">
        <v>147</v>
      </c>
      <c r="B11" s="210" t="s">
        <v>727</v>
      </c>
      <c r="C11" s="146"/>
      <c r="D11" s="146"/>
      <c r="E11" s="1329">
        <v>2400</v>
      </c>
      <c r="F11" s="146"/>
      <c r="G11" s="170">
        <v>2400</v>
      </c>
      <c r="H11" s="1027"/>
      <c r="I11" s="1022">
        <v>2300</v>
      </c>
      <c r="J11" s="1012">
        <f>Tabelle615252933[[#Totals],[Aufwandsentschädigungen]]</f>
        <v>2220</v>
      </c>
      <c r="K11" s="1002">
        <v>3400</v>
      </c>
      <c r="L11" s="743">
        <v>270</v>
      </c>
      <c r="M11" s="176"/>
      <c r="N11" s="146"/>
    </row>
    <row r="12" spans="1:14" x14ac:dyDescent="0.3">
      <c r="A12" s="183" t="s">
        <v>1206</v>
      </c>
      <c r="B12" s="210" t="s">
        <v>729</v>
      </c>
      <c r="C12" s="146"/>
      <c r="D12" s="146"/>
      <c r="E12" s="1330">
        <v>3000</v>
      </c>
      <c r="F12" s="146"/>
      <c r="G12" s="170">
        <v>6000</v>
      </c>
      <c r="H12" s="1027"/>
      <c r="I12" s="1022">
        <v>2000</v>
      </c>
      <c r="J12" s="1012">
        <f>Tabelle615252933[[#Totals],[Interne Reisekosten]]</f>
        <v>1900</v>
      </c>
      <c r="K12" s="1002">
        <v>4000</v>
      </c>
      <c r="L12" s="743">
        <v>172.05</v>
      </c>
      <c r="M12" s="176"/>
      <c r="N12" s="146"/>
    </row>
    <row r="13" spans="1:14" ht="15" customHeight="1" x14ac:dyDescent="0.3">
      <c r="A13" s="183" t="s">
        <v>278</v>
      </c>
      <c r="B13" s="210" t="s">
        <v>730</v>
      </c>
      <c r="C13" s="184"/>
      <c r="D13" s="184"/>
      <c r="E13" s="1329">
        <v>1500</v>
      </c>
      <c r="F13" s="184"/>
      <c r="G13" s="1046">
        <v>1500</v>
      </c>
      <c r="H13" s="1027"/>
      <c r="I13" s="1022">
        <v>1150</v>
      </c>
      <c r="J13" s="1039">
        <f>Tabelle615252933[[#Totals],[Raum + Unterkunft intern]]</f>
        <v>1150</v>
      </c>
      <c r="K13" s="1002">
        <v>1000</v>
      </c>
      <c r="L13" s="744">
        <v>0</v>
      </c>
      <c r="M13" s="185"/>
      <c r="N13" s="146"/>
    </row>
    <row r="14" spans="1:14" x14ac:dyDescent="0.3">
      <c r="A14" s="183" t="s">
        <v>300</v>
      </c>
      <c r="B14" s="212" t="s">
        <v>731</v>
      </c>
      <c r="C14" s="80"/>
      <c r="D14" s="80"/>
      <c r="E14" s="1330">
        <v>400</v>
      </c>
      <c r="F14" s="80"/>
      <c r="G14" s="1047">
        <v>250</v>
      </c>
      <c r="H14" s="1027"/>
      <c r="I14" s="1022">
        <v>650</v>
      </c>
      <c r="J14" s="1040">
        <f>Tabelle615252933[[#Totals],[Repräsentation/Bewirtung intern]]</f>
        <v>650</v>
      </c>
      <c r="K14" s="1002">
        <v>250</v>
      </c>
      <c r="L14" s="745">
        <v>0</v>
      </c>
      <c r="M14" s="186"/>
      <c r="N14" s="80"/>
    </row>
    <row r="15" spans="1:14" x14ac:dyDescent="0.3">
      <c r="A15" s="183" t="s">
        <v>343</v>
      </c>
      <c r="B15" s="210" t="s">
        <v>732</v>
      </c>
      <c r="C15" s="146"/>
      <c r="D15" s="146"/>
      <c r="E15" s="1331">
        <v>13000</v>
      </c>
      <c r="F15" s="146"/>
      <c r="G15" s="170">
        <v>15000</v>
      </c>
      <c r="H15" s="1031"/>
      <c r="I15" s="1022">
        <v>17200</v>
      </c>
      <c r="J15" s="1012">
        <f>Tabelle410232731[[#Totals],[Honorare Dozierende Fachseminare]]</f>
        <v>17152.5</v>
      </c>
      <c r="K15" s="1002">
        <v>11200</v>
      </c>
      <c r="L15" s="743">
        <v>17613.75</v>
      </c>
      <c r="M15" s="176"/>
      <c r="N15" s="146"/>
    </row>
    <row r="16" spans="1:14" x14ac:dyDescent="0.3">
      <c r="A16" s="183" t="s">
        <v>354</v>
      </c>
      <c r="B16" s="211" t="s">
        <v>318</v>
      </c>
      <c r="C16" s="80"/>
      <c r="D16" s="80"/>
      <c r="E16" s="1331">
        <v>1000</v>
      </c>
      <c r="F16" s="80"/>
      <c r="G16" s="1047">
        <v>0</v>
      </c>
      <c r="H16" s="1027"/>
      <c r="I16" s="1022">
        <v>1000</v>
      </c>
      <c r="J16" s="1018">
        <f>Tabelle513242832[[#Totals],[Andere Honorare]]</f>
        <v>1000</v>
      </c>
      <c r="K16" s="1002">
        <v>1800</v>
      </c>
      <c r="L16" s="745">
        <v>0</v>
      </c>
      <c r="M16" s="186"/>
      <c r="N16" s="80"/>
    </row>
    <row r="17" spans="1:14" x14ac:dyDescent="0.3">
      <c r="A17" s="183" t="s">
        <v>361</v>
      </c>
      <c r="B17" s="211" t="s">
        <v>733</v>
      </c>
      <c r="C17" s="80"/>
      <c r="D17" s="80"/>
      <c r="E17" s="1331">
        <v>300</v>
      </c>
      <c r="F17" s="80"/>
      <c r="G17" s="1047">
        <v>0</v>
      </c>
      <c r="H17" s="1031"/>
      <c r="I17" s="1022">
        <v>200</v>
      </c>
      <c r="J17" s="1018">
        <f>Tabelle410232731[[#Totals],[Externe Reisekosten]]</f>
        <v>200</v>
      </c>
      <c r="K17" s="1002">
        <v>2000</v>
      </c>
      <c r="L17" s="745">
        <v>0</v>
      </c>
      <c r="M17" s="186"/>
      <c r="N17" s="80"/>
    </row>
    <row r="18" spans="1:14" x14ac:dyDescent="0.3">
      <c r="A18" s="183" t="s">
        <v>1207</v>
      </c>
      <c r="B18" s="211" t="s">
        <v>363</v>
      </c>
      <c r="C18" s="80"/>
      <c r="D18" s="80"/>
      <c r="E18" s="1331">
        <v>300</v>
      </c>
      <c r="F18" s="80"/>
      <c r="G18" s="1047">
        <v>250</v>
      </c>
      <c r="H18" s="1031"/>
      <c r="I18" s="1022">
        <v>250</v>
      </c>
      <c r="J18" s="1018">
        <f>Tabelle410232731[[#Totals],[Repräsentation/Bewirtung extern]]+Tabelle513242832[[#Totals],[Repräsentation/Bewirtung extern]]</f>
        <v>310</v>
      </c>
      <c r="K18" s="1002">
        <v>200</v>
      </c>
      <c r="L18" s="745">
        <v>0</v>
      </c>
      <c r="M18" s="186"/>
      <c r="N18" s="80"/>
    </row>
    <row r="19" spans="1:14" x14ac:dyDescent="0.3">
      <c r="A19" s="183" t="s">
        <v>372</v>
      </c>
      <c r="B19" s="211" t="s">
        <v>734</v>
      </c>
      <c r="C19" s="80"/>
      <c r="D19" s="80"/>
      <c r="E19" s="1331">
        <v>500</v>
      </c>
      <c r="F19" s="80"/>
      <c r="G19" s="1047">
        <v>250</v>
      </c>
      <c r="H19" s="1031"/>
      <c r="I19" s="1022">
        <v>100</v>
      </c>
      <c r="J19" s="1018">
        <f>Tabelle410232731[[#Totals],[Raum + Unterkunft extern]]+Tabelle513242832[[#Totals],[Raum + Unterkunft extern]]</f>
        <v>100</v>
      </c>
      <c r="K19" s="1002">
        <v>1500</v>
      </c>
      <c r="L19" s="745">
        <v>0</v>
      </c>
      <c r="M19" s="186"/>
      <c r="N19" s="80"/>
    </row>
    <row r="20" spans="1:14" x14ac:dyDescent="0.3">
      <c r="A20" s="183" t="s">
        <v>394</v>
      </c>
      <c r="B20" s="212" t="s">
        <v>1229</v>
      </c>
      <c r="C20" s="80"/>
      <c r="D20" s="80"/>
      <c r="E20" s="1330">
        <v>500</v>
      </c>
      <c r="F20" s="80"/>
      <c r="G20" s="1047">
        <v>0</v>
      </c>
      <c r="H20" s="1031"/>
      <c r="I20" s="1022">
        <v>900</v>
      </c>
      <c r="J20" s="1040">
        <f>Tabelle410232731[[#Totals],[Verwaltungs- und Druckkosten]]+Tabelle513242832[[#Totals],[Druckkosten]]</f>
        <v>900</v>
      </c>
      <c r="K20" s="1002">
        <v>0</v>
      </c>
      <c r="L20" s="745">
        <v>0</v>
      </c>
      <c r="M20" s="186"/>
      <c r="N20" s="80"/>
    </row>
    <row r="21" spans="1:14" x14ac:dyDescent="0.3">
      <c r="A21" s="183" t="s">
        <v>406</v>
      </c>
      <c r="B21" s="212" t="s">
        <v>397</v>
      </c>
      <c r="C21" s="80"/>
      <c r="D21" s="80"/>
      <c r="E21" s="1329">
        <v>400</v>
      </c>
      <c r="F21" s="80"/>
      <c r="G21" s="1047">
        <v>500</v>
      </c>
      <c r="H21" s="1031"/>
      <c r="I21" s="1022">
        <v>1250</v>
      </c>
      <c r="J21" s="1040">
        <f>Tabelle513242832[[#Totals],[Sonstige Kosten]]</f>
        <v>1250</v>
      </c>
      <c r="K21" s="1002">
        <v>1500</v>
      </c>
      <c r="L21" s="745">
        <v>149.83000000000001</v>
      </c>
      <c r="M21" s="186"/>
      <c r="N21" s="80"/>
    </row>
    <row r="22" spans="1:14" ht="15" thickBot="1" x14ac:dyDescent="0.35">
      <c r="A22" s="183" t="s">
        <v>424</v>
      </c>
      <c r="B22" s="212" t="s">
        <v>675</v>
      </c>
      <c r="C22" s="80"/>
      <c r="D22" s="80"/>
      <c r="E22" s="1330">
        <v>250</v>
      </c>
      <c r="F22" s="80"/>
      <c r="G22" s="1047">
        <v>250</v>
      </c>
      <c r="H22" s="1031"/>
      <c r="I22" s="1061">
        <v>750</v>
      </c>
      <c r="J22" s="1054">
        <f>Tabelle513242832[[#Totals],[Rechtsangelegenheiten]]</f>
        <v>750</v>
      </c>
      <c r="K22" s="1006">
        <v>250</v>
      </c>
      <c r="L22" s="745">
        <v>0</v>
      </c>
      <c r="M22" s="186"/>
      <c r="N22" s="80"/>
    </row>
    <row r="23" spans="1:14" ht="15" thickBot="1" x14ac:dyDescent="0.35">
      <c r="A23" s="187"/>
      <c r="B23" s="188"/>
      <c r="C23" s="188"/>
      <c r="D23" s="189" t="s">
        <v>556</v>
      </c>
      <c r="E23" s="1349">
        <f>SUBTOTAL(109,Tabelle1822263034[Freie Eingabe Plan HHJ 24-25])</f>
        <v>46150</v>
      </c>
      <c r="F23" s="189"/>
      <c r="G23" s="194">
        <f>SUBTOTAL(109,G10:G22)</f>
        <v>36000</v>
      </c>
      <c r="H23" s="1326">
        <f>SUBTOTAL(109,H11:H22)</f>
        <v>0</v>
      </c>
      <c r="I23" s="1007">
        <f>SUBTOTAL(109,I10:I22)</f>
        <v>37350</v>
      </c>
      <c r="J23" s="171">
        <f>SUBTOTAL(109,J10:J22)</f>
        <v>37182.5</v>
      </c>
      <c r="K23" s="171">
        <f>SUBTOTAL(109,K10:K22)</f>
        <v>36700</v>
      </c>
      <c r="L23" s="171">
        <f>SUBTOTAL(109,L10:L22)</f>
        <v>27805.63</v>
      </c>
      <c r="M23" s="190"/>
      <c r="N23" s="1268"/>
    </row>
    <row r="24" spans="1:14" ht="15" thickBot="1" x14ac:dyDescent="0.35">
      <c r="A24" s="78"/>
      <c r="B24" s="80"/>
      <c r="C24" s="80"/>
      <c r="D24" s="80"/>
      <c r="E24" s="80"/>
      <c r="F24" s="80"/>
      <c r="G24" s="80"/>
      <c r="H24" s="80"/>
    </row>
    <row r="25" spans="1:14" ht="15" thickBot="1" x14ac:dyDescent="0.35">
      <c r="A25" s="78"/>
      <c r="B25" s="80"/>
      <c r="C25" s="80"/>
      <c r="D25" s="192" t="s">
        <v>735</v>
      </c>
      <c r="E25" s="193">
        <f>G8-Tabelle1822263034[[#Totals],[Freie Eingabe Plan HHJ 23-24]]</f>
        <v>-20500</v>
      </c>
      <c r="F25" s="368">
        <f>H8-Tabelle1822263034[[#Totals],[Rechnung HHJ 23-24]]</f>
        <v>0</v>
      </c>
      <c r="G25" s="368">
        <f>K8-Tabelle1822263034[[#Totals],[Freie Eingabe Plan HHJ 21-22]]</f>
        <v>-32200</v>
      </c>
      <c r="H25" s="368"/>
      <c r="I25" s="368"/>
      <c r="J25" s="368"/>
      <c r="K25" s="368"/>
    </row>
    <row r="26" spans="1:14" x14ac:dyDescent="0.3">
      <c r="A26" s="77"/>
      <c r="B26" s="76"/>
      <c r="C26" s="76"/>
      <c r="D26" s="76"/>
      <c r="E26" s="76"/>
      <c r="F26" s="76"/>
      <c r="G26" s="76"/>
      <c r="H26" s="76"/>
    </row>
    <row r="27" spans="1:14" ht="15.6" x14ac:dyDescent="0.3">
      <c r="B27" s="114" t="s">
        <v>736</v>
      </c>
      <c r="C27" s="76"/>
      <c r="D27" s="76"/>
      <c r="E27" s="88"/>
      <c r="F27" s="76"/>
      <c r="G27" s="76"/>
      <c r="H27" s="76"/>
    </row>
    <row r="28" spans="1:14" ht="15.6" x14ac:dyDescent="0.3">
      <c r="B28" s="77" t="s">
        <v>737</v>
      </c>
      <c r="C28" s="76"/>
      <c r="D28" s="76"/>
      <c r="E28" s="88"/>
      <c r="F28" s="76"/>
      <c r="G28" s="76"/>
      <c r="H28" s="76"/>
    </row>
    <row r="29" spans="1:14" x14ac:dyDescent="0.3">
      <c r="B29" s="77" t="s">
        <v>738</v>
      </c>
      <c r="C29" s="80"/>
      <c r="D29" s="80"/>
      <c r="E29" s="89"/>
      <c r="F29" s="80"/>
      <c r="G29" s="80"/>
      <c r="H29" s="80"/>
    </row>
    <row r="30" spans="1:14" x14ac:dyDescent="0.3">
      <c r="B30" s="77"/>
      <c r="C30" s="80"/>
      <c r="D30" s="80"/>
      <c r="E30" s="89"/>
      <c r="F30" s="80"/>
      <c r="G30" s="80"/>
      <c r="H30" s="80"/>
    </row>
    <row r="31" spans="1:14" x14ac:dyDescent="0.3">
      <c r="A31" s="6" t="s">
        <v>1559</v>
      </c>
      <c r="B31" s="77"/>
      <c r="C31" s="80"/>
      <c r="D31" s="80"/>
      <c r="E31" s="89"/>
      <c r="F31" s="80"/>
      <c r="G31" s="80"/>
      <c r="H31" s="80"/>
    </row>
    <row r="32" spans="1:14" x14ac:dyDescent="0.3">
      <c r="B32" s="1333" t="s">
        <v>1560</v>
      </c>
      <c r="C32" s="80"/>
      <c r="D32" s="80"/>
      <c r="E32" s="89"/>
      <c r="F32" s="80"/>
      <c r="G32" s="80"/>
      <c r="H32" s="80"/>
    </row>
    <row r="33" spans="1:31" x14ac:dyDescent="0.3">
      <c r="B33" s="1333" t="s">
        <v>1561</v>
      </c>
      <c r="C33" s="80"/>
      <c r="D33" s="80"/>
      <c r="E33" s="89"/>
      <c r="F33" s="80"/>
      <c r="G33" s="80"/>
      <c r="H33" s="80"/>
    </row>
    <row r="34" spans="1:31" x14ac:dyDescent="0.3">
      <c r="B34" s="1333" t="s">
        <v>1562</v>
      </c>
      <c r="C34" s="80"/>
      <c r="D34" s="80"/>
      <c r="E34" s="89"/>
      <c r="F34" s="80"/>
      <c r="G34" s="80"/>
      <c r="H34" s="80"/>
    </row>
    <row r="35" spans="1:31" x14ac:dyDescent="0.3">
      <c r="B35" s="1333" t="s">
        <v>1563</v>
      </c>
      <c r="C35" s="80"/>
      <c r="D35" s="80"/>
      <c r="E35" s="89"/>
      <c r="F35" s="80"/>
      <c r="G35" s="80"/>
      <c r="H35" s="80"/>
    </row>
    <row r="36" spans="1:31" x14ac:dyDescent="0.3">
      <c r="B36" s="77"/>
      <c r="C36" s="80"/>
      <c r="D36" s="80"/>
      <c r="E36" s="89"/>
      <c r="F36" s="80"/>
      <c r="G36" s="80"/>
      <c r="H36" s="80"/>
    </row>
    <row r="37" spans="1:31" x14ac:dyDescent="0.3">
      <c r="B37" s="77"/>
      <c r="C37" s="80"/>
      <c r="D37" s="80"/>
      <c r="E37" s="89"/>
      <c r="F37" s="80"/>
      <c r="G37" s="80"/>
      <c r="H37" s="80"/>
    </row>
    <row r="38" spans="1:31" x14ac:dyDescent="0.3">
      <c r="B38" s="77"/>
      <c r="C38" s="80"/>
      <c r="D38" s="80"/>
      <c r="E38" s="89"/>
      <c r="F38" s="80"/>
      <c r="G38" s="80"/>
      <c r="H38" s="80"/>
    </row>
    <row r="39" spans="1:31" x14ac:dyDescent="0.3">
      <c r="A39" s="78"/>
      <c r="B39" s="80"/>
      <c r="C39" s="80"/>
      <c r="D39" s="80"/>
      <c r="E39" s="89"/>
      <c r="F39" s="80"/>
      <c r="G39" s="80"/>
      <c r="H39" s="80"/>
    </row>
    <row r="40" spans="1:31" x14ac:dyDescent="0.3">
      <c r="A40" s="77"/>
      <c r="B40" s="76"/>
      <c r="C40" s="76"/>
      <c r="D40" s="76"/>
      <c r="E40" s="76"/>
      <c r="F40" s="76"/>
      <c r="G40" s="76"/>
      <c r="H40" s="76"/>
    </row>
    <row r="41" spans="1:31" ht="15.6" x14ac:dyDescent="0.3">
      <c r="A41" s="7"/>
      <c r="B41" s="7" t="s">
        <v>1231</v>
      </c>
      <c r="D41" s="6" t="s">
        <v>739</v>
      </c>
    </row>
    <row r="42" spans="1:31" ht="16.2" thickBot="1" x14ac:dyDescent="0.35">
      <c r="A42" s="7"/>
      <c r="B42" s="1034"/>
    </row>
    <row r="43" spans="1:31" ht="15" thickBot="1" x14ac:dyDescent="0.35">
      <c r="A43" s="369"/>
      <c r="B43" s="370" t="s">
        <v>656</v>
      </c>
      <c r="C43" s="371" t="s">
        <v>79</v>
      </c>
      <c r="D43" s="372" t="s">
        <v>87</v>
      </c>
      <c r="E43" s="372" t="s">
        <v>94</v>
      </c>
      <c r="F43" s="373" t="s">
        <v>343</v>
      </c>
      <c r="G43" s="373"/>
      <c r="H43" s="373" t="s">
        <v>361</v>
      </c>
      <c r="I43" s="373" t="s">
        <v>1207</v>
      </c>
      <c r="J43" s="373" t="s">
        <v>372</v>
      </c>
      <c r="K43" s="373" t="s">
        <v>394</v>
      </c>
      <c r="L43" s="374"/>
      <c r="R43" s="369"/>
      <c r="S43" s="370" t="s">
        <v>656</v>
      </c>
      <c r="T43" s="371" t="s">
        <v>79</v>
      </c>
      <c r="U43" s="372" t="s">
        <v>87</v>
      </c>
      <c r="V43" s="372" t="s">
        <v>94</v>
      </c>
      <c r="W43" s="373" t="s">
        <v>343</v>
      </c>
      <c r="X43" s="373"/>
      <c r="Y43" s="373" t="s">
        <v>361</v>
      </c>
      <c r="Z43" s="373" t="s">
        <v>1207</v>
      </c>
      <c r="AA43" s="373" t="s">
        <v>372</v>
      </c>
      <c r="AB43" s="373" t="s">
        <v>394</v>
      </c>
      <c r="AC43" s="374"/>
    </row>
    <row r="44" spans="1:31" ht="55.8" thickBot="1" x14ac:dyDescent="0.35">
      <c r="A44" s="95" t="s">
        <v>740</v>
      </c>
      <c r="B44" s="139" t="s">
        <v>741</v>
      </c>
      <c r="C44" s="375" t="s">
        <v>742</v>
      </c>
      <c r="D44" s="376" t="s">
        <v>651</v>
      </c>
      <c r="E44" s="376" t="s">
        <v>743</v>
      </c>
      <c r="F44" s="376" t="s">
        <v>315</v>
      </c>
      <c r="G44" s="376" t="s">
        <v>748</v>
      </c>
      <c r="H44" s="376" t="s">
        <v>321</v>
      </c>
      <c r="I44" s="376" t="s">
        <v>744</v>
      </c>
      <c r="J44" s="376" t="s">
        <v>745</v>
      </c>
      <c r="K44" s="376" t="s">
        <v>1222</v>
      </c>
      <c r="L44" s="377" t="s">
        <v>607</v>
      </c>
      <c r="R44" s="95" t="s">
        <v>740</v>
      </c>
      <c r="S44" s="139" t="s">
        <v>741</v>
      </c>
      <c r="T44" s="375" t="s">
        <v>742</v>
      </c>
      <c r="U44" s="376" t="s">
        <v>651</v>
      </c>
      <c r="V44" s="376" t="s">
        <v>743</v>
      </c>
      <c r="W44" s="376" t="s">
        <v>315</v>
      </c>
      <c r="X44" s="376" t="s">
        <v>748</v>
      </c>
      <c r="Y44" s="376" t="s">
        <v>321</v>
      </c>
      <c r="Z44" s="376" t="s">
        <v>744</v>
      </c>
      <c r="AA44" s="376" t="s">
        <v>745</v>
      </c>
      <c r="AB44" s="376" t="s">
        <v>1222</v>
      </c>
      <c r="AC44" s="377" t="s">
        <v>607</v>
      </c>
    </row>
    <row r="45" spans="1:31" s="81" customFormat="1" ht="183.75" customHeight="1" outlineLevel="1" x14ac:dyDescent="0.3">
      <c r="A45" s="90">
        <f t="shared" ref="A45:A54" si="1">ROW(A1)</f>
        <v>1</v>
      </c>
      <c r="B45" s="662" t="s">
        <v>1268</v>
      </c>
      <c r="C45" s="378"/>
      <c r="D45" s="291"/>
      <c r="E45" s="291"/>
      <c r="F45" s="291"/>
      <c r="G45" s="291"/>
      <c r="H45" s="291"/>
      <c r="I45" s="291"/>
      <c r="J45" s="291"/>
      <c r="K45" s="291"/>
      <c r="L45" s="295">
        <f>SUM(C45:E45)-SUM(F45:K45)</f>
        <v>0</v>
      </c>
      <c r="N45" s="660" t="s">
        <v>1288</v>
      </c>
      <c r="R45" s="90">
        <f t="shared" ref="R45:R54" si="2">ROW(A1)</f>
        <v>1</v>
      </c>
      <c r="S45" s="662" t="s">
        <v>1268</v>
      </c>
      <c r="T45" s="378"/>
      <c r="U45" s="291"/>
      <c r="V45" s="291"/>
      <c r="W45" s="291"/>
      <c r="X45" s="291"/>
      <c r="Y45" s="291"/>
      <c r="Z45" s="291"/>
      <c r="AA45" s="291"/>
      <c r="AB45" s="291"/>
      <c r="AC45" s="295">
        <f>SUM(T45:V45)-SUM(W45:AB45)</f>
        <v>0</v>
      </c>
      <c r="AE45" s="660" t="s">
        <v>1288</v>
      </c>
    </row>
    <row r="46" spans="1:31" s="81" customFormat="1" ht="144" customHeight="1" outlineLevel="1" x14ac:dyDescent="0.3">
      <c r="A46" s="90">
        <f t="shared" si="1"/>
        <v>2</v>
      </c>
      <c r="B46" s="273" t="s">
        <v>1267</v>
      </c>
      <c r="C46" s="115">
        <v>11586</v>
      </c>
      <c r="D46" s="116"/>
      <c r="E46" s="116"/>
      <c r="F46" s="116">
        <v>10560</v>
      </c>
      <c r="G46" s="116">
        <v>546</v>
      </c>
      <c r="H46" s="116">
        <v>0</v>
      </c>
      <c r="I46" s="116">
        <v>60</v>
      </c>
      <c r="J46" s="116">
        <v>0</v>
      </c>
      <c r="K46" s="116">
        <v>420</v>
      </c>
      <c r="L46" s="117">
        <f t="shared" ref="L46:L54" si="3">SUM(C46:E46)-SUM(F46:K46)</f>
        <v>0</v>
      </c>
      <c r="R46" s="90">
        <f t="shared" si="2"/>
        <v>2</v>
      </c>
      <c r="S46" s="273" t="s">
        <v>1267</v>
      </c>
      <c r="T46" s="115">
        <v>11586</v>
      </c>
      <c r="U46" s="116"/>
      <c r="V46" s="116"/>
      <c r="W46" s="116">
        <v>10560</v>
      </c>
      <c r="X46" s="116">
        <v>546</v>
      </c>
      <c r="Y46" s="116">
        <v>0</v>
      </c>
      <c r="Z46" s="116">
        <v>60</v>
      </c>
      <c r="AA46" s="116">
        <v>0</v>
      </c>
      <c r="AB46" s="116">
        <v>420</v>
      </c>
      <c r="AC46" s="117">
        <f t="shared" ref="AC46:AC54" si="4">SUM(T46:V46)-SUM(W46:AB46)</f>
        <v>0</v>
      </c>
    </row>
    <row r="47" spans="1:31" s="81" customFormat="1" ht="121.5" customHeight="1" outlineLevel="1" x14ac:dyDescent="0.3">
      <c r="A47" s="90">
        <f t="shared" si="1"/>
        <v>3</v>
      </c>
      <c r="B47" s="273" t="s">
        <v>1266</v>
      </c>
      <c r="C47" s="115">
        <v>2634</v>
      </c>
      <c r="D47" s="116"/>
      <c r="E47" s="116"/>
      <c r="F47" s="116">
        <v>2392.5</v>
      </c>
      <c r="G47" s="116">
        <v>136.5</v>
      </c>
      <c r="H47" s="116">
        <v>0</v>
      </c>
      <c r="I47" s="116">
        <v>0</v>
      </c>
      <c r="J47" s="116">
        <v>0</v>
      </c>
      <c r="K47" s="116">
        <v>105</v>
      </c>
      <c r="L47" s="117">
        <f t="shared" si="3"/>
        <v>0</v>
      </c>
      <c r="R47" s="90">
        <f t="shared" si="2"/>
        <v>3</v>
      </c>
      <c r="S47" s="273" t="s">
        <v>1266</v>
      </c>
      <c r="T47" s="115">
        <v>2634</v>
      </c>
      <c r="U47" s="116"/>
      <c r="V47" s="116"/>
      <c r="W47" s="116">
        <v>2392.5</v>
      </c>
      <c r="X47" s="116">
        <v>136.5</v>
      </c>
      <c r="Y47" s="116">
        <v>0</v>
      </c>
      <c r="Z47" s="116">
        <v>0</v>
      </c>
      <c r="AA47" s="116">
        <v>0</v>
      </c>
      <c r="AB47" s="116">
        <v>105</v>
      </c>
      <c r="AC47" s="117">
        <f t="shared" si="4"/>
        <v>0</v>
      </c>
    </row>
    <row r="48" spans="1:31" s="81" customFormat="1" ht="142.5" customHeight="1" outlineLevel="1" x14ac:dyDescent="0.3">
      <c r="A48" s="90">
        <f t="shared" si="1"/>
        <v>4</v>
      </c>
      <c r="B48" s="273" t="s">
        <v>1284</v>
      </c>
      <c r="C48" s="115">
        <v>2602.5</v>
      </c>
      <c r="D48" s="116"/>
      <c r="E48" s="116"/>
      <c r="F48" s="116">
        <v>2200</v>
      </c>
      <c r="G48" s="116">
        <v>227.5</v>
      </c>
      <c r="H48" s="116">
        <v>0</v>
      </c>
      <c r="I48" s="116">
        <v>0</v>
      </c>
      <c r="J48" s="116">
        <v>0</v>
      </c>
      <c r="K48" s="116">
        <v>175</v>
      </c>
      <c r="L48" s="117">
        <f t="shared" si="3"/>
        <v>0</v>
      </c>
      <c r="R48" s="90">
        <f t="shared" si="2"/>
        <v>4</v>
      </c>
      <c r="S48" s="273" t="s">
        <v>1284</v>
      </c>
      <c r="T48" s="115">
        <v>2602.5</v>
      </c>
      <c r="U48" s="116"/>
      <c r="V48" s="116"/>
      <c r="W48" s="116">
        <v>2200</v>
      </c>
      <c r="X48" s="116">
        <v>227.5</v>
      </c>
      <c r="Y48" s="116">
        <v>0</v>
      </c>
      <c r="Z48" s="116">
        <v>0</v>
      </c>
      <c r="AA48" s="116">
        <v>0</v>
      </c>
      <c r="AB48" s="116">
        <v>175</v>
      </c>
      <c r="AC48" s="117">
        <f t="shared" si="4"/>
        <v>0</v>
      </c>
    </row>
    <row r="49" spans="1:32" s="81" customFormat="1" outlineLevel="1" x14ac:dyDescent="0.3">
      <c r="A49" s="90">
        <f t="shared" si="1"/>
        <v>5</v>
      </c>
      <c r="B49" s="273"/>
      <c r="C49" s="115"/>
      <c r="D49" s="116"/>
      <c r="E49" s="116"/>
      <c r="F49" s="116"/>
      <c r="G49" s="116"/>
      <c r="H49" s="116"/>
      <c r="I49" s="116"/>
      <c r="J49" s="116"/>
      <c r="K49" s="116"/>
      <c r="L49" s="117">
        <f t="shared" si="3"/>
        <v>0</v>
      </c>
      <c r="R49" s="90">
        <f t="shared" si="2"/>
        <v>5</v>
      </c>
      <c r="S49" s="273"/>
      <c r="T49" s="115"/>
      <c r="U49" s="116"/>
      <c r="V49" s="116"/>
      <c r="W49" s="116"/>
      <c r="X49" s="116"/>
      <c r="Y49" s="116"/>
      <c r="Z49" s="116"/>
      <c r="AA49" s="116"/>
      <c r="AB49" s="116"/>
      <c r="AC49" s="117">
        <f t="shared" si="4"/>
        <v>0</v>
      </c>
    </row>
    <row r="50" spans="1:32" s="81" customFormat="1" outlineLevel="1" x14ac:dyDescent="0.3">
      <c r="A50" s="90">
        <f t="shared" si="1"/>
        <v>6</v>
      </c>
      <c r="B50" s="273"/>
      <c r="C50" s="115"/>
      <c r="D50" s="116"/>
      <c r="E50" s="116"/>
      <c r="F50" s="116"/>
      <c r="G50" s="116"/>
      <c r="H50" s="116"/>
      <c r="I50" s="116"/>
      <c r="J50" s="116"/>
      <c r="K50" s="116"/>
      <c r="L50" s="117">
        <f t="shared" si="3"/>
        <v>0</v>
      </c>
      <c r="R50" s="90">
        <f t="shared" si="2"/>
        <v>6</v>
      </c>
      <c r="S50" s="273"/>
      <c r="T50" s="115"/>
      <c r="U50" s="116"/>
      <c r="V50" s="116"/>
      <c r="W50" s="116"/>
      <c r="X50" s="116"/>
      <c r="Y50" s="116"/>
      <c r="Z50" s="116"/>
      <c r="AA50" s="116"/>
      <c r="AB50" s="116"/>
      <c r="AC50" s="117">
        <f t="shared" si="4"/>
        <v>0</v>
      </c>
    </row>
    <row r="51" spans="1:32" s="81" customFormat="1" outlineLevel="1" x14ac:dyDescent="0.3">
      <c r="A51" s="90">
        <f t="shared" si="1"/>
        <v>7</v>
      </c>
      <c r="B51" s="284"/>
      <c r="C51" s="118"/>
      <c r="D51" s="119"/>
      <c r="E51" s="119"/>
      <c r="F51" s="119"/>
      <c r="G51" s="119"/>
      <c r="H51" s="119"/>
      <c r="I51" s="119"/>
      <c r="J51" s="119"/>
      <c r="K51" s="119"/>
      <c r="L51" s="117">
        <f t="shared" si="3"/>
        <v>0</v>
      </c>
      <c r="R51" s="90">
        <f t="shared" si="2"/>
        <v>7</v>
      </c>
      <c r="S51" s="284"/>
      <c r="T51" s="118"/>
      <c r="U51" s="119"/>
      <c r="V51" s="119"/>
      <c r="W51" s="119"/>
      <c r="X51" s="119"/>
      <c r="Y51" s="119"/>
      <c r="Z51" s="119"/>
      <c r="AA51" s="119"/>
      <c r="AB51" s="119"/>
      <c r="AC51" s="117">
        <f t="shared" si="4"/>
        <v>0</v>
      </c>
    </row>
    <row r="52" spans="1:32" s="81" customFormat="1" outlineLevel="1" x14ac:dyDescent="0.3">
      <c r="A52" s="90">
        <f t="shared" si="1"/>
        <v>8</v>
      </c>
      <c r="B52" s="273"/>
      <c r="C52" s="115"/>
      <c r="D52" s="116"/>
      <c r="E52" s="116"/>
      <c r="F52" s="116"/>
      <c r="G52" s="116"/>
      <c r="H52" s="116"/>
      <c r="I52" s="116"/>
      <c r="J52" s="116"/>
      <c r="K52" s="116"/>
      <c r="L52" s="117">
        <f t="shared" si="3"/>
        <v>0</v>
      </c>
      <c r="R52" s="90">
        <f t="shared" si="2"/>
        <v>8</v>
      </c>
      <c r="S52" s="273"/>
      <c r="T52" s="115"/>
      <c r="U52" s="116"/>
      <c r="V52" s="116"/>
      <c r="W52" s="116"/>
      <c r="X52" s="116"/>
      <c r="Y52" s="116"/>
      <c r="Z52" s="116"/>
      <c r="AA52" s="116"/>
      <c r="AB52" s="116"/>
      <c r="AC52" s="117">
        <f t="shared" si="4"/>
        <v>0</v>
      </c>
    </row>
    <row r="53" spans="1:32" s="81" customFormat="1" outlineLevel="1" x14ac:dyDescent="0.3">
      <c r="A53" s="90">
        <f t="shared" si="1"/>
        <v>9</v>
      </c>
      <c r="B53" s="284"/>
      <c r="C53" s="118"/>
      <c r="D53" s="119"/>
      <c r="E53" s="119"/>
      <c r="F53" s="119"/>
      <c r="G53" s="119"/>
      <c r="H53" s="119"/>
      <c r="I53" s="119"/>
      <c r="J53" s="119"/>
      <c r="K53" s="119"/>
      <c r="L53" s="117">
        <f t="shared" si="3"/>
        <v>0</v>
      </c>
      <c r="R53" s="90">
        <f t="shared" si="2"/>
        <v>9</v>
      </c>
      <c r="S53" s="284"/>
      <c r="T53" s="118"/>
      <c r="U53" s="119"/>
      <c r="V53" s="119"/>
      <c r="W53" s="119"/>
      <c r="X53" s="119"/>
      <c r="Y53" s="119"/>
      <c r="Z53" s="119"/>
      <c r="AA53" s="119"/>
      <c r="AB53" s="119"/>
      <c r="AC53" s="117">
        <f t="shared" si="4"/>
        <v>0</v>
      </c>
    </row>
    <row r="54" spans="1:32" s="81" customFormat="1" outlineLevel="1" x14ac:dyDescent="0.3">
      <c r="A54" s="90">
        <f t="shared" si="1"/>
        <v>10</v>
      </c>
      <c r="B54" s="284" t="s">
        <v>562</v>
      </c>
      <c r="C54" s="118">
        <v>2750</v>
      </c>
      <c r="D54" s="119"/>
      <c r="E54" s="119"/>
      <c r="F54" s="119">
        <v>2000</v>
      </c>
      <c r="G54" s="119">
        <v>200</v>
      </c>
      <c r="H54" s="119">
        <v>200</v>
      </c>
      <c r="I54" s="119">
        <v>50</v>
      </c>
      <c r="J54" s="119">
        <v>100</v>
      </c>
      <c r="K54" s="119">
        <v>200</v>
      </c>
      <c r="L54" s="120">
        <f t="shared" si="3"/>
        <v>0</v>
      </c>
      <c r="R54" s="90">
        <f t="shared" si="2"/>
        <v>10</v>
      </c>
      <c r="S54" s="284" t="s">
        <v>562</v>
      </c>
      <c r="T54" s="118">
        <v>2750</v>
      </c>
      <c r="U54" s="119"/>
      <c r="V54" s="119"/>
      <c r="W54" s="119">
        <v>2000</v>
      </c>
      <c r="X54" s="119">
        <v>200</v>
      </c>
      <c r="Y54" s="119">
        <v>200</v>
      </c>
      <c r="Z54" s="119">
        <v>50</v>
      </c>
      <c r="AA54" s="119">
        <v>100</v>
      </c>
      <c r="AB54" s="119">
        <v>200</v>
      </c>
      <c r="AC54" s="120">
        <f t="shared" si="4"/>
        <v>0</v>
      </c>
    </row>
    <row r="55" spans="1:32" s="81" customFormat="1" ht="15" outlineLevel="1" thickBot="1" x14ac:dyDescent="0.35">
      <c r="A55" s="90"/>
      <c r="C55" s="121"/>
      <c r="D55" s="116"/>
      <c r="E55" s="116"/>
      <c r="F55" s="122"/>
      <c r="G55" s="116"/>
      <c r="H55" s="116"/>
      <c r="I55" s="116"/>
      <c r="J55" s="116"/>
      <c r="K55" s="116"/>
      <c r="L55" s="123"/>
      <c r="R55" s="90"/>
      <c r="T55" s="121"/>
      <c r="U55" s="116"/>
      <c r="V55" s="116"/>
      <c r="W55" s="122"/>
      <c r="X55" s="116"/>
      <c r="Y55" s="116"/>
      <c r="Z55" s="116"/>
      <c r="AA55" s="116"/>
      <c r="AB55" s="116"/>
      <c r="AC55" s="123"/>
    </row>
    <row r="56" spans="1:32" s="98" customFormat="1" ht="20.25" customHeight="1" thickBot="1" x14ac:dyDescent="0.35">
      <c r="A56" s="96"/>
      <c r="B56" s="97" t="s">
        <v>697</v>
      </c>
      <c r="C56" s="272">
        <f>SUBTOTAL(9,Tabelle41023273160[Teilnahmebeiträge Fachseminare])</f>
        <v>19572.5</v>
      </c>
      <c r="D56" s="386">
        <f>SUBTOTAL(9,Tabelle41023273160[Teilnahmebeiträge Veranstaltungen])</f>
        <v>0</v>
      </c>
      <c r="E56" s="386">
        <f>SUBTOTAL(9,Tabelle41023273160[Sonstige Einnahmen])</f>
        <v>0</v>
      </c>
      <c r="F56" s="387">
        <f>SUBTOTAL(9,Tabelle41023273160[Honorare Dozierende Fachseminare])</f>
        <v>17152.5</v>
      </c>
      <c r="G56" s="387">
        <f>SUBTOTAL(9,Tabelle41023273160[Aufwandsentschädigungen])</f>
        <v>1110</v>
      </c>
      <c r="H56" s="387">
        <f>SUBTOTAL(9,Tabelle41023273160[Externe Reisekosten])</f>
        <v>200</v>
      </c>
      <c r="I56" s="387">
        <f>SUBTOTAL(9,Tabelle41023273160[Repräsentation/Bewirtung extern])</f>
        <v>110</v>
      </c>
      <c r="J56" s="387">
        <f>SUBTOTAL(9,Tabelle41023273160[Raum + Unterkunft extern])</f>
        <v>100</v>
      </c>
      <c r="K56" s="387">
        <f>SUBTOTAL(9,Tabelle41023273160[Verwaltungs- und Druckkosten])</f>
        <v>900</v>
      </c>
      <c r="L56" s="666">
        <f>SUBTOTAL(9,Tabelle41023273160[Gesamt])</f>
        <v>0</v>
      </c>
      <c r="R56" s="96"/>
      <c r="S56" s="97" t="s">
        <v>697</v>
      </c>
      <c r="T56" s="272">
        <f>SUBTOTAL(9,Tabelle410232731[Teilnahmebeiträge Fachseminare])</f>
        <v>19572.5</v>
      </c>
      <c r="U56" s="386">
        <f>SUBTOTAL(9,Tabelle410232731[Teilnahmebeiträge Veranstaltungen])</f>
        <v>0</v>
      </c>
      <c r="V56" s="386">
        <f>SUBTOTAL(9,Tabelle410232731[Sonstige Einnahmen])</f>
        <v>0</v>
      </c>
      <c r="W56" s="387">
        <f>SUBTOTAL(9,Tabelle410232731[Honorare Dozierende Fachseminare])</f>
        <v>17152.5</v>
      </c>
      <c r="X56" s="387">
        <f>SUBTOTAL(9,Tabelle410232731[Aufwandsentschädigungen])</f>
        <v>1110</v>
      </c>
      <c r="Y56" s="387">
        <f>SUBTOTAL(9,Tabelle410232731[Externe Reisekosten])</f>
        <v>200</v>
      </c>
      <c r="Z56" s="387">
        <f>SUBTOTAL(9,Tabelle410232731[Repräsentation/Bewirtung extern])</f>
        <v>110</v>
      </c>
      <c r="AA56" s="387">
        <f>SUBTOTAL(9,Tabelle410232731[Raum + Unterkunft extern])</f>
        <v>100</v>
      </c>
      <c r="AB56" s="387">
        <f>SUBTOTAL(9,Tabelle410232731[Verwaltungs- und Druckkosten])</f>
        <v>900</v>
      </c>
      <c r="AC56" s="666">
        <f>SUBTOTAL(9,Tabelle410232731[Gesamt])</f>
        <v>0</v>
      </c>
    </row>
    <row r="57" spans="1:32" ht="15" customHeight="1" x14ac:dyDescent="0.35">
      <c r="A57" s="11"/>
      <c r="R57" s="11"/>
    </row>
    <row r="58" spans="1:32" s="75" customFormat="1" ht="15.6" x14ac:dyDescent="0.3">
      <c r="A58" s="7"/>
      <c r="B58" s="7" t="s">
        <v>746</v>
      </c>
      <c r="D58" s="6" t="s">
        <v>739</v>
      </c>
      <c r="R58" s="7"/>
      <c r="S58" s="7" t="s">
        <v>746</v>
      </c>
      <c r="U58" s="6" t="s">
        <v>739</v>
      </c>
    </row>
    <row r="59" spans="1:32" ht="15.75" customHeight="1" thickBot="1" x14ac:dyDescent="0.4">
      <c r="A59" s="11"/>
      <c r="R59" s="11"/>
    </row>
    <row r="60" spans="1:32" ht="15" thickBot="1" x14ac:dyDescent="0.35">
      <c r="A60" s="100"/>
      <c r="B60" s="142" t="s">
        <v>656</v>
      </c>
      <c r="C60" s="91" t="s">
        <v>83</v>
      </c>
      <c r="D60" s="92" t="s">
        <v>90</v>
      </c>
      <c r="E60" s="93" t="s">
        <v>147</v>
      </c>
      <c r="F60" s="93" t="s">
        <v>250</v>
      </c>
      <c r="G60" s="93" t="s">
        <v>278</v>
      </c>
      <c r="H60" s="93" t="s">
        <v>300</v>
      </c>
      <c r="I60" s="93" t="s">
        <v>1207</v>
      </c>
      <c r="J60" s="93" t="s">
        <v>372</v>
      </c>
      <c r="K60" s="93" t="s">
        <v>394</v>
      </c>
      <c r="L60" s="93" t="s">
        <v>406</v>
      </c>
      <c r="M60" s="93" t="s">
        <v>424</v>
      </c>
      <c r="N60" s="657" t="s">
        <v>354</v>
      </c>
      <c r="O60" s="94"/>
      <c r="R60" s="100"/>
      <c r="S60" s="142" t="s">
        <v>656</v>
      </c>
      <c r="T60" s="91" t="s">
        <v>83</v>
      </c>
      <c r="U60" s="92" t="s">
        <v>90</v>
      </c>
      <c r="V60" s="93" t="s">
        <v>147</v>
      </c>
      <c r="W60" s="93" t="s">
        <v>250</v>
      </c>
      <c r="X60" s="93" t="s">
        <v>278</v>
      </c>
      <c r="Y60" s="93" t="s">
        <v>300</v>
      </c>
      <c r="Z60" s="93" t="s">
        <v>1207</v>
      </c>
      <c r="AA60" s="93" t="s">
        <v>372</v>
      </c>
      <c r="AB60" s="93" t="s">
        <v>394</v>
      </c>
      <c r="AC60" s="93" t="s">
        <v>406</v>
      </c>
      <c r="AD60" s="93" t="s">
        <v>424</v>
      </c>
      <c r="AE60" s="657" t="s">
        <v>354</v>
      </c>
      <c r="AF60" s="94"/>
    </row>
    <row r="61" spans="1:32" ht="55.8" thickBot="1" x14ac:dyDescent="0.35">
      <c r="A61" s="101" t="s">
        <v>740</v>
      </c>
      <c r="B61" s="99" t="s">
        <v>747</v>
      </c>
      <c r="C61" s="102" t="s">
        <v>651</v>
      </c>
      <c r="D61" s="99" t="s">
        <v>743</v>
      </c>
      <c r="E61" s="99" t="s">
        <v>748</v>
      </c>
      <c r="F61" s="99" t="s">
        <v>644</v>
      </c>
      <c r="G61" s="99" t="s">
        <v>749</v>
      </c>
      <c r="H61" s="99" t="s">
        <v>750</v>
      </c>
      <c r="I61" s="99" t="s">
        <v>744</v>
      </c>
      <c r="J61" s="99" t="s">
        <v>745</v>
      </c>
      <c r="K61" s="99" t="s">
        <v>329</v>
      </c>
      <c r="L61" s="99" t="s">
        <v>310</v>
      </c>
      <c r="M61" s="99" t="s">
        <v>675</v>
      </c>
      <c r="N61" s="99" t="s">
        <v>318</v>
      </c>
      <c r="O61" s="103" t="s">
        <v>607</v>
      </c>
      <c r="R61" s="101" t="s">
        <v>740</v>
      </c>
      <c r="S61" s="99" t="s">
        <v>747</v>
      </c>
      <c r="T61" s="102" t="s">
        <v>651</v>
      </c>
      <c r="U61" s="99" t="s">
        <v>743</v>
      </c>
      <c r="V61" s="99" t="s">
        <v>748</v>
      </c>
      <c r="W61" s="99" t="s">
        <v>644</v>
      </c>
      <c r="X61" s="99" t="s">
        <v>749</v>
      </c>
      <c r="Y61" s="99" t="s">
        <v>750</v>
      </c>
      <c r="Z61" s="99" t="s">
        <v>744</v>
      </c>
      <c r="AA61" s="99" t="s">
        <v>745</v>
      </c>
      <c r="AB61" s="99" t="s">
        <v>329</v>
      </c>
      <c r="AC61" s="99" t="s">
        <v>310</v>
      </c>
      <c r="AD61" s="99" t="s">
        <v>675</v>
      </c>
      <c r="AE61" s="99" t="s">
        <v>318</v>
      </c>
      <c r="AF61" s="103" t="s">
        <v>607</v>
      </c>
    </row>
    <row r="62" spans="1:32" s="81" customFormat="1" outlineLevel="1" x14ac:dyDescent="0.3">
      <c r="A62" s="259">
        <f>ROW(A1)</f>
        <v>1</v>
      </c>
      <c r="B62" s="260"/>
      <c r="C62" s="381"/>
      <c r="D62" s="382"/>
      <c r="E62" s="382"/>
      <c r="F62" s="382"/>
      <c r="G62" s="382"/>
      <c r="H62" s="382"/>
      <c r="I62" s="382"/>
      <c r="J62" s="382"/>
      <c r="K62" s="382"/>
      <c r="L62" s="382"/>
      <c r="M62" s="382"/>
      <c r="N62" s="382"/>
      <c r="O62" s="267">
        <f t="shared" ref="O62:O73" si="5">SUM(C62+D62)-SUM(F62:N62)</f>
        <v>0</v>
      </c>
      <c r="R62" s="259">
        <f t="shared" ref="R62:R73" si="6">ROW(A1)</f>
        <v>1</v>
      </c>
      <c r="S62" s="260" t="s">
        <v>781</v>
      </c>
      <c r="T62" s="381"/>
      <c r="U62" s="382"/>
      <c r="V62" s="382"/>
      <c r="W62" s="382"/>
      <c r="X62" s="382"/>
      <c r="Y62" s="382"/>
      <c r="Z62" s="382"/>
      <c r="AA62" s="382"/>
      <c r="AB62" s="382"/>
      <c r="AC62" s="382">
        <v>250</v>
      </c>
      <c r="AD62" s="382"/>
      <c r="AE62" s="382"/>
      <c r="AF62" s="267">
        <f t="shared" ref="AF62:AF73" si="7">SUM(T62+U62)-SUM(W62:AE62)</f>
        <v>-250</v>
      </c>
    </row>
    <row r="63" spans="1:32" s="81" customFormat="1" ht="41.4" outlineLevel="1" x14ac:dyDescent="0.3">
      <c r="A63" s="259">
        <f t="shared" ref="A63:A73" si="8">ROW(A2)</f>
        <v>2</v>
      </c>
      <c r="B63" s="260"/>
      <c r="C63" s="261"/>
      <c r="D63" s="262"/>
      <c r="E63" s="262"/>
      <c r="F63" s="262"/>
      <c r="G63" s="262"/>
      <c r="H63" s="262"/>
      <c r="I63" s="262"/>
      <c r="J63" s="262"/>
      <c r="K63" s="262"/>
      <c r="L63" s="262"/>
      <c r="M63" s="262"/>
      <c r="N63" s="262"/>
      <c r="O63" s="267">
        <f t="shared" si="5"/>
        <v>0</v>
      </c>
      <c r="R63" s="259">
        <f t="shared" si="6"/>
        <v>2</v>
      </c>
      <c r="S63" s="260" t="s">
        <v>782</v>
      </c>
      <c r="T63" s="261"/>
      <c r="U63" s="262"/>
      <c r="V63" s="262"/>
      <c r="W63" s="262"/>
      <c r="X63" s="262"/>
      <c r="Y63" s="262">
        <v>250</v>
      </c>
      <c r="Z63" s="262">
        <v>0</v>
      </c>
      <c r="AA63" s="262"/>
      <c r="AB63" s="262"/>
      <c r="AC63" s="262">
        <v>0</v>
      </c>
      <c r="AD63" s="262"/>
      <c r="AE63" s="262"/>
      <c r="AF63" s="267">
        <f t="shared" si="7"/>
        <v>-250</v>
      </c>
    </row>
    <row r="64" spans="1:32" s="81" customFormat="1" ht="41.4" outlineLevel="1" x14ac:dyDescent="0.3">
      <c r="A64" s="259">
        <f t="shared" si="8"/>
        <v>3</v>
      </c>
      <c r="B64" s="260"/>
      <c r="C64" s="261"/>
      <c r="D64" s="262"/>
      <c r="E64" s="262"/>
      <c r="F64" s="262"/>
      <c r="G64" s="262"/>
      <c r="H64" s="262"/>
      <c r="I64" s="262"/>
      <c r="J64" s="262"/>
      <c r="K64" s="262"/>
      <c r="L64" s="262"/>
      <c r="M64" s="262"/>
      <c r="N64" s="262"/>
      <c r="O64" s="267">
        <f t="shared" si="5"/>
        <v>0</v>
      </c>
      <c r="R64" s="259">
        <f t="shared" si="6"/>
        <v>3</v>
      </c>
      <c r="S64" s="260" t="s">
        <v>783</v>
      </c>
      <c r="T64" s="261"/>
      <c r="U64" s="262"/>
      <c r="V64" s="262"/>
      <c r="W64" s="262"/>
      <c r="X64" s="262"/>
      <c r="Y64" s="262"/>
      <c r="Z64" s="262"/>
      <c r="AA64" s="262"/>
      <c r="AB64" s="262"/>
      <c r="AC64" s="262"/>
      <c r="AD64" s="262">
        <v>250</v>
      </c>
      <c r="AE64" s="262"/>
      <c r="AF64" s="267">
        <f t="shared" si="7"/>
        <v>-250</v>
      </c>
    </row>
    <row r="65" spans="1:32" s="81" customFormat="1" outlineLevel="1" x14ac:dyDescent="0.3">
      <c r="A65" s="259">
        <f t="shared" si="8"/>
        <v>4</v>
      </c>
      <c r="B65" s="260"/>
      <c r="C65" s="261"/>
      <c r="D65" s="262"/>
      <c r="E65" s="262"/>
      <c r="F65" s="262"/>
      <c r="G65" s="262"/>
      <c r="H65" s="262"/>
      <c r="I65" s="262"/>
      <c r="J65" s="262"/>
      <c r="K65" s="262"/>
      <c r="L65" s="262"/>
      <c r="M65" s="262"/>
      <c r="N65" s="262"/>
      <c r="O65" s="267">
        <f t="shared" si="5"/>
        <v>0</v>
      </c>
      <c r="R65" s="259">
        <f t="shared" si="6"/>
        <v>4</v>
      </c>
      <c r="S65" s="260"/>
      <c r="T65" s="261"/>
      <c r="U65" s="262"/>
      <c r="V65" s="262"/>
      <c r="W65" s="262"/>
      <c r="X65" s="262"/>
      <c r="Y65" s="262"/>
      <c r="Z65" s="262"/>
      <c r="AA65" s="262"/>
      <c r="AB65" s="262"/>
      <c r="AC65" s="262"/>
      <c r="AD65" s="262"/>
      <c r="AE65" s="262"/>
      <c r="AF65" s="267">
        <f t="shared" si="7"/>
        <v>0</v>
      </c>
    </row>
    <row r="66" spans="1:32" s="81" customFormat="1" outlineLevel="1" x14ac:dyDescent="0.3">
      <c r="A66" s="259">
        <f t="shared" si="8"/>
        <v>5</v>
      </c>
      <c r="B66" s="260"/>
      <c r="C66" s="261"/>
      <c r="D66" s="262"/>
      <c r="E66" s="262"/>
      <c r="F66" s="262"/>
      <c r="G66" s="262"/>
      <c r="H66" s="262"/>
      <c r="I66" s="262"/>
      <c r="J66" s="262"/>
      <c r="K66" s="262"/>
      <c r="L66" s="262"/>
      <c r="M66" s="262"/>
      <c r="N66" s="262"/>
      <c r="O66" s="267">
        <f t="shared" si="5"/>
        <v>0</v>
      </c>
      <c r="R66" s="259">
        <f t="shared" si="6"/>
        <v>5</v>
      </c>
      <c r="S66" s="260"/>
      <c r="T66" s="261"/>
      <c r="U66" s="262"/>
      <c r="V66" s="262"/>
      <c r="W66" s="262"/>
      <c r="X66" s="262"/>
      <c r="Y66" s="262"/>
      <c r="Z66" s="262"/>
      <c r="AA66" s="262"/>
      <c r="AB66" s="262"/>
      <c r="AC66" s="262"/>
      <c r="AD66" s="262"/>
      <c r="AE66" s="262"/>
      <c r="AF66" s="267">
        <f t="shared" si="7"/>
        <v>0</v>
      </c>
    </row>
    <row r="67" spans="1:32" s="81" customFormat="1" outlineLevel="1" x14ac:dyDescent="0.3">
      <c r="A67" s="259">
        <f t="shared" si="8"/>
        <v>6</v>
      </c>
      <c r="B67" s="260"/>
      <c r="C67" s="261"/>
      <c r="D67" s="262"/>
      <c r="E67" s="262"/>
      <c r="F67" s="262"/>
      <c r="G67" s="262"/>
      <c r="H67" s="262"/>
      <c r="I67" s="262"/>
      <c r="J67" s="262"/>
      <c r="K67" s="262"/>
      <c r="L67" s="262"/>
      <c r="M67" s="262"/>
      <c r="N67" s="262"/>
      <c r="O67" s="267">
        <f t="shared" si="5"/>
        <v>0</v>
      </c>
      <c r="R67" s="259">
        <f t="shared" si="6"/>
        <v>6</v>
      </c>
      <c r="S67" s="260"/>
      <c r="T67" s="261"/>
      <c r="U67" s="262"/>
      <c r="V67" s="262"/>
      <c r="W67" s="262"/>
      <c r="X67" s="262"/>
      <c r="Y67" s="262"/>
      <c r="Z67" s="262"/>
      <c r="AA67" s="262"/>
      <c r="AB67" s="262"/>
      <c r="AC67" s="262"/>
      <c r="AD67" s="262"/>
      <c r="AE67" s="262"/>
      <c r="AF67" s="267">
        <f t="shared" si="7"/>
        <v>0</v>
      </c>
    </row>
    <row r="68" spans="1:32" s="81" customFormat="1" outlineLevel="1" x14ac:dyDescent="0.3">
      <c r="A68" s="259">
        <f t="shared" si="8"/>
        <v>7</v>
      </c>
      <c r="B68" s="260"/>
      <c r="C68" s="261"/>
      <c r="D68" s="262"/>
      <c r="E68" s="262"/>
      <c r="F68" s="262"/>
      <c r="G68" s="262"/>
      <c r="H68" s="262"/>
      <c r="I68" s="262"/>
      <c r="J68" s="262"/>
      <c r="K68" s="262"/>
      <c r="L68" s="262"/>
      <c r="M68" s="262"/>
      <c r="N68" s="262"/>
      <c r="O68" s="267">
        <f t="shared" si="5"/>
        <v>0</v>
      </c>
      <c r="R68" s="259">
        <f t="shared" si="6"/>
        <v>7</v>
      </c>
      <c r="S68" s="260"/>
      <c r="T68" s="261"/>
      <c r="U68" s="262"/>
      <c r="V68" s="262"/>
      <c r="W68" s="262"/>
      <c r="X68" s="262"/>
      <c r="Y68" s="262"/>
      <c r="Z68" s="262"/>
      <c r="AA68" s="262"/>
      <c r="AB68" s="262"/>
      <c r="AC68" s="262"/>
      <c r="AD68" s="262"/>
      <c r="AE68" s="262"/>
      <c r="AF68" s="267">
        <f t="shared" si="7"/>
        <v>0</v>
      </c>
    </row>
    <row r="69" spans="1:32" s="81" customFormat="1" outlineLevel="1" x14ac:dyDescent="0.3">
      <c r="A69" s="259">
        <f t="shared" si="8"/>
        <v>8</v>
      </c>
      <c r="B69" s="260"/>
      <c r="C69" s="261"/>
      <c r="D69" s="262"/>
      <c r="E69" s="262"/>
      <c r="F69" s="262"/>
      <c r="G69" s="262"/>
      <c r="H69" s="262"/>
      <c r="I69" s="262"/>
      <c r="J69" s="262"/>
      <c r="K69" s="262"/>
      <c r="L69" s="262"/>
      <c r="M69" s="262"/>
      <c r="N69" s="262"/>
      <c r="O69" s="267">
        <f t="shared" si="5"/>
        <v>0</v>
      </c>
      <c r="R69" s="259">
        <f t="shared" si="6"/>
        <v>8</v>
      </c>
      <c r="S69" s="260"/>
      <c r="T69" s="261"/>
      <c r="U69" s="262"/>
      <c r="V69" s="262"/>
      <c r="W69" s="262"/>
      <c r="X69" s="262"/>
      <c r="Y69" s="262"/>
      <c r="Z69" s="262"/>
      <c r="AA69" s="262"/>
      <c r="AB69" s="262"/>
      <c r="AC69" s="262"/>
      <c r="AD69" s="262"/>
      <c r="AE69" s="262"/>
      <c r="AF69" s="267">
        <f t="shared" si="7"/>
        <v>0</v>
      </c>
    </row>
    <row r="70" spans="1:32" s="81" customFormat="1" outlineLevel="1" x14ac:dyDescent="0.3">
      <c r="A70" s="259">
        <f t="shared" si="8"/>
        <v>9</v>
      </c>
      <c r="B70" s="260"/>
      <c r="C70" s="261"/>
      <c r="D70" s="262"/>
      <c r="E70" s="262"/>
      <c r="F70" s="262"/>
      <c r="G70" s="262"/>
      <c r="H70" s="262"/>
      <c r="I70" s="262"/>
      <c r="J70" s="262"/>
      <c r="K70" s="262"/>
      <c r="L70" s="262"/>
      <c r="M70" s="262"/>
      <c r="N70" s="262"/>
      <c r="O70" s="267">
        <f t="shared" si="5"/>
        <v>0</v>
      </c>
      <c r="R70" s="259">
        <f t="shared" si="6"/>
        <v>9</v>
      </c>
      <c r="S70" s="260"/>
      <c r="T70" s="261"/>
      <c r="U70" s="262"/>
      <c r="V70" s="262"/>
      <c r="W70" s="262"/>
      <c r="X70" s="262"/>
      <c r="Y70" s="262"/>
      <c r="Z70" s="262"/>
      <c r="AA70" s="262"/>
      <c r="AB70" s="262"/>
      <c r="AC70" s="262"/>
      <c r="AD70" s="262"/>
      <c r="AE70" s="262"/>
      <c r="AF70" s="267">
        <f t="shared" si="7"/>
        <v>0</v>
      </c>
    </row>
    <row r="71" spans="1:32" s="81" customFormat="1" outlineLevel="1" x14ac:dyDescent="0.3">
      <c r="A71" s="259">
        <f t="shared" si="8"/>
        <v>10</v>
      </c>
      <c r="B71" s="260"/>
      <c r="C71" s="261"/>
      <c r="D71" s="262"/>
      <c r="E71" s="262"/>
      <c r="F71" s="262"/>
      <c r="G71" s="262"/>
      <c r="H71" s="262"/>
      <c r="I71" s="262"/>
      <c r="J71" s="262"/>
      <c r="K71" s="262"/>
      <c r="L71" s="262"/>
      <c r="M71" s="262"/>
      <c r="N71" s="262"/>
      <c r="O71" s="267">
        <f t="shared" si="5"/>
        <v>0</v>
      </c>
      <c r="R71" s="259">
        <f t="shared" si="6"/>
        <v>10</v>
      </c>
      <c r="S71" s="260"/>
      <c r="T71" s="261"/>
      <c r="U71" s="262"/>
      <c r="V71" s="262"/>
      <c r="W71" s="262"/>
      <c r="X71" s="262"/>
      <c r="Y71" s="262"/>
      <c r="Z71" s="262"/>
      <c r="AA71" s="262"/>
      <c r="AB71" s="262"/>
      <c r="AC71" s="262"/>
      <c r="AD71" s="262"/>
      <c r="AE71" s="262"/>
      <c r="AF71" s="267">
        <f t="shared" si="7"/>
        <v>0</v>
      </c>
    </row>
    <row r="72" spans="1:32" s="81" customFormat="1" outlineLevel="1" x14ac:dyDescent="0.3">
      <c r="A72" s="259">
        <f t="shared" si="8"/>
        <v>11</v>
      </c>
      <c r="B72" s="260"/>
      <c r="C72" s="261"/>
      <c r="D72" s="262"/>
      <c r="E72" s="262"/>
      <c r="F72" s="262"/>
      <c r="G72" s="262"/>
      <c r="H72" s="262"/>
      <c r="I72" s="262"/>
      <c r="J72" s="262"/>
      <c r="K72" s="262"/>
      <c r="L72" s="262"/>
      <c r="M72" s="262"/>
      <c r="N72" s="262"/>
      <c r="O72" s="267">
        <f t="shared" si="5"/>
        <v>0</v>
      </c>
      <c r="R72" s="259">
        <f t="shared" si="6"/>
        <v>11</v>
      </c>
      <c r="S72" s="260"/>
      <c r="T72" s="261"/>
      <c r="U72" s="262"/>
      <c r="V72" s="262"/>
      <c r="W72" s="262"/>
      <c r="X72" s="262"/>
      <c r="Y72" s="262"/>
      <c r="Z72" s="262"/>
      <c r="AA72" s="262"/>
      <c r="AB72" s="262"/>
      <c r="AC72" s="262"/>
      <c r="AD72" s="262"/>
      <c r="AE72" s="262"/>
      <c r="AF72" s="267">
        <f t="shared" si="7"/>
        <v>0</v>
      </c>
    </row>
    <row r="73" spans="1:32" s="81" customFormat="1" ht="15" outlineLevel="1" thickBot="1" x14ac:dyDescent="0.35">
      <c r="A73" s="259">
        <f t="shared" si="8"/>
        <v>12</v>
      </c>
      <c r="B73" s="264" t="s">
        <v>606</v>
      </c>
      <c r="C73" s="270">
        <v>0</v>
      </c>
      <c r="D73" s="271">
        <v>0</v>
      </c>
      <c r="E73" s="271"/>
      <c r="F73" s="271"/>
      <c r="G73" s="271"/>
      <c r="H73" s="271"/>
      <c r="I73" s="271"/>
      <c r="J73" s="271"/>
      <c r="K73" s="271"/>
      <c r="L73" s="271"/>
      <c r="M73" s="271"/>
      <c r="N73" s="266"/>
      <c r="O73" s="267">
        <f t="shared" si="5"/>
        <v>0</v>
      </c>
      <c r="R73" s="259">
        <f t="shared" si="6"/>
        <v>12</v>
      </c>
      <c r="S73" s="264" t="s">
        <v>606</v>
      </c>
      <c r="T73" s="270">
        <v>0</v>
      </c>
      <c r="U73" s="271">
        <v>0</v>
      </c>
      <c r="V73" s="271">
        <v>200</v>
      </c>
      <c r="W73" s="271">
        <v>300</v>
      </c>
      <c r="X73" s="271">
        <v>100</v>
      </c>
      <c r="Y73" s="271">
        <v>250</v>
      </c>
      <c r="Z73" s="271">
        <v>200</v>
      </c>
      <c r="AA73" s="271">
        <v>0</v>
      </c>
      <c r="AB73" s="271">
        <v>0</v>
      </c>
      <c r="AC73" s="271">
        <v>1000</v>
      </c>
      <c r="AD73" s="271">
        <v>500</v>
      </c>
      <c r="AE73" s="266">
        <v>1000</v>
      </c>
      <c r="AF73" s="267">
        <f t="shared" si="7"/>
        <v>-3350</v>
      </c>
    </row>
    <row r="74" spans="1:32" ht="23.25" customHeight="1" thickBot="1" x14ac:dyDescent="0.35">
      <c r="A74" s="106"/>
      <c r="B74" s="107" t="s">
        <v>697</v>
      </c>
      <c r="C74" s="272">
        <f>SUBTOTAL(9,Tabelle51324283261[Teilnahmebeiträge Veranstaltungen])</f>
        <v>0</v>
      </c>
      <c r="D74" s="386">
        <f>SUBTOTAL(9,Tabelle51324283261[Sonstige Einnahmen])</f>
        <v>0</v>
      </c>
      <c r="E74" s="387">
        <f>SUBTOTAL(9,Tabelle51324283261[Aufwandsentschädigungen])</f>
        <v>0</v>
      </c>
      <c r="F74" s="387">
        <f>SUBTOTAL(9,Tabelle51324283261[Interne Reisekosten])</f>
        <v>0</v>
      </c>
      <c r="G74" s="387">
        <f>SUBTOTAL(9,Tabelle51324283261[Raum + Unterkunft intern])</f>
        <v>0</v>
      </c>
      <c r="H74" s="387">
        <f>SUBTOTAL(9,Tabelle51324283261[Repräsentation/Bewirtung intern])</f>
        <v>0</v>
      </c>
      <c r="I74" s="387">
        <f>SUBTOTAL(9,Tabelle51324283261[Repräsentation/Bewirtung extern])</f>
        <v>0</v>
      </c>
      <c r="J74" s="387">
        <f>SUBTOTAL(9,Tabelle51324283261[Raum + Unterkunft extern])</f>
        <v>0</v>
      </c>
      <c r="K74" s="387">
        <f>SUBTOTAL(9,Tabelle51324283261[Druckkosten])</f>
        <v>0</v>
      </c>
      <c r="L74" s="387">
        <f>SUBTOTAL(9,Tabelle51324283261[Sonstige Kosten])</f>
        <v>0</v>
      </c>
      <c r="M74" s="387">
        <f>SUBTOTAL(9,Tabelle51324283261[Rechtsangelegenheiten])</f>
        <v>0</v>
      </c>
      <c r="N74" s="387">
        <f>SUBTOTAL(109,Tabelle51324283261[Andere Honorare])</f>
        <v>0</v>
      </c>
      <c r="O74" s="673">
        <f>SUBTOTAL(9,Tabelle51324283261[Gesamt])</f>
        <v>0</v>
      </c>
      <c r="R74" s="106"/>
      <c r="S74" s="107" t="s">
        <v>697</v>
      </c>
      <c r="T74" s="272">
        <f>SUBTOTAL(9,Tabelle513242832[Teilnahmebeiträge Veranstaltungen])</f>
        <v>0</v>
      </c>
      <c r="U74" s="386">
        <f>SUBTOTAL(9,Tabelle513242832[Sonstige Einnahmen])</f>
        <v>0</v>
      </c>
      <c r="V74" s="387">
        <f>SUBTOTAL(9,Tabelle513242832[Aufwandsentschädigungen])</f>
        <v>200</v>
      </c>
      <c r="W74" s="387">
        <f>SUBTOTAL(9,Tabelle513242832[Interne Reisekosten])</f>
        <v>300</v>
      </c>
      <c r="X74" s="387">
        <f>SUBTOTAL(9,Tabelle513242832[Raum + Unterkunft intern])</f>
        <v>100</v>
      </c>
      <c r="Y74" s="387">
        <f>SUBTOTAL(9,Tabelle513242832[Repräsentation/Bewirtung intern])</f>
        <v>500</v>
      </c>
      <c r="Z74" s="387">
        <f>SUBTOTAL(9,Tabelle513242832[Repräsentation/Bewirtung extern])</f>
        <v>200</v>
      </c>
      <c r="AA74" s="387">
        <f>SUBTOTAL(9,Tabelle513242832[Raum + Unterkunft extern])</f>
        <v>0</v>
      </c>
      <c r="AB74" s="387">
        <f>SUBTOTAL(9,Tabelle513242832[Druckkosten])</f>
        <v>0</v>
      </c>
      <c r="AC74" s="387">
        <f>SUBTOTAL(9,Tabelle513242832[Sonstige Kosten])</f>
        <v>1250</v>
      </c>
      <c r="AD74" s="387">
        <f>SUBTOTAL(9,Tabelle513242832[Rechtsangelegenheiten])</f>
        <v>750</v>
      </c>
      <c r="AE74" s="387">
        <f>SUBTOTAL(109,Tabelle513242832[Andere Honorare])</f>
        <v>1000</v>
      </c>
      <c r="AF74" s="673">
        <f>SUBTOTAL(9,Tabelle513242832[Gesamt])</f>
        <v>-4100</v>
      </c>
    </row>
    <row r="75" spans="1:32" ht="18" x14ac:dyDescent="0.35">
      <c r="A75" s="11"/>
      <c r="R75" s="11"/>
    </row>
    <row r="76" spans="1:32" ht="15.6" x14ac:dyDescent="0.3">
      <c r="A76" s="7"/>
      <c r="B76" s="7" t="s">
        <v>755</v>
      </c>
      <c r="D76" s="6" t="s">
        <v>739</v>
      </c>
      <c r="R76" s="7"/>
      <c r="S76" s="7" t="s">
        <v>755</v>
      </c>
      <c r="U76" s="6" t="s">
        <v>739</v>
      </c>
    </row>
    <row r="77" spans="1:32" ht="18.600000000000001" thickBot="1" x14ac:dyDescent="0.4">
      <c r="A77" s="11"/>
      <c r="R77" s="11"/>
    </row>
    <row r="78" spans="1:32" ht="15.6" thickTop="1" thickBot="1" x14ac:dyDescent="0.35">
      <c r="A78" s="108"/>
      <c r="B78" s="140"/>
      <c r="C78" s="141"/>
      <c r="D78" s="144" t="s">
        <v>656</v>
      </c>
      <c r="E78" s="109" t="s">
        <v>136</v>
      </c>
      <c r="F78" s="110" t="s">
        <v>242</v>
      </c>
      <c r="G78" s="110" t="s">
        <v>266</v>
      </c>
      <c r="H78" s="110" t="s">
        <v>292</v>
      </c>
      <c r="I78" s="111"/>
      <c r="R78" s="108"/>
      <c r="S78" s="140"/>
      <c r="T78" s="141"/>
      <c r="U78" s="144" t="s">
        <v>656</v>
      </c>
      <c r="V78" s="109" t="s">
        <v>136</v>
      </c>
      <c r="W78" s="110" t="s">
        <v>242</v>
      </c>
      <c r="X78" s="110" t="s">
        <v>266</v>
      </c>
      <c r="Y78" s="110" t="s">
        <v>292</v>
      </c>
      <c r="Z78" s="111"/>
    </row>
    <row r="79" spans="1:32" ht="42" thickBot="1" x14ac:dyDescent="0.35">
      <c r="A79" s="112" t="s">
        <v>756</v>
      </c>
      <c r="B79" s="112" t="s">
        <v>757</v>
      </c>
      <c r="C79" s="143" t="s">
        <v>758</v>
      </c>
      <c r="D79" s="112" t="s">
        <v>533</v>
      </c>
      <c r="E79" s="375" t="s">
        <v>748</v>
      </c>
      <c r="F79" s="376" t="s">
        <v>644</v>
      </c>
      <c r="G79" s="376" t="s">
        <v>749</v>
      </c>
      <c r="H79" s="376" t="s">
        <v>750</v>
      </c>
      <c r="I79" s="377" t="s">
        <v>607</v>
      </c>
      <c r="R79" s="112" t="s">
        <v>756</v>
      </c>
      <c r="S79" s="112" t="s">
        <v>757</v>
      </c>
      <c r="T79" s="143" t="s">
        <v>758</v>
      </c>
      <c r="U79" s="112" t="s">
        <v>533</v>
      </c>
      <c r="V79" s="375" t="s">
        <v>748</v>
      </c>
      <c r="W79" s="376" t="s">
        <v>644</v>
      </c>
      <c r="X79" s="376" t="s">
        <v>749</v>
      </c>
      <c r="Y79" s="376" t="s">
        <v>750</v>
      </c>
      <c r="Z79" s="377" t="s">
        <v>607</v>
      </c>
    </row>
    <row r="80" spans="1:32" s="81" customFormat="1" ht="358.8" outlineLevel="1" x14ac:dyDescent="0.3">
      <c r="A80" s="263">
        <f>ROW(A1)</f>
        <v>1</v>
      </c>
      <c r="B80" s="296" t="s">
        <v>1285</v>
      </c>
      <c r="C80" s="263"/>
      <c r="D80" s="263"/>
      <c r="E80" s="381"/>
      <c r="F80" s="382"/>
      <c r="G80" s="382"/>
      <c r="H80" s="382"/>
      <c r="I80" s="283">
        <f>SUM(E80:H80)</f>
        <v>0</v>
      </c>
      <c r="R80" s="263">
        <f t="shared" ref="R80:R88" si="9">ROW(A1)</f>
        <v>1</v>
      </c>
      <c r="S80" s="296" t="s">
        <v>1285</v>
      </c>
      <c r="T80" s="263"/>
      <c r="U80" s="263"/>
      <c r="V80" s="381"/>
      <c r="W80" s="382"/>
      <c r="X80" s="382"/>
      <c r="Y80" s="382"/>
      <c r="Z80" s="283">
        <f>SUM(V80:Y80)</f>
        <v>0</v>
      </c>
    </row>
    <row r="81" spans="1:26" s="81" customFormat="1" outlineLevel="1" x14ac:dyDescent="0.3">
      <c r="A81" s="263">
        <f t="shared" ref="A81:A88" si="10">ROW(A2)</f>
        <v>2</v>
      </c>
      <c r="B81" s="263" t="s">
        <v>1286</v>
      </c>
      <c r="C81" s="263"/>
      <c r="D81" s="263" t="s">
        <v>770</v>
      </c>
      <c r="E81" s="261">
        <v>800</v>
      </c>
      <c r="F81" s="262">
        <v>0</v>
      </c>
      <c r="G81" s="262">
        <v>0</v>
      </c>
      <c r="H81" s="262">
        <v>0</v>
      </c>
      <c r="I81" s="267">
        <f>SUM(E81:H81)</f>
        <v>800</v>
      </c>
      <c r="R81" s="263">
        <f t="shared" si="9"/>
        <v>2</v>
      </c>
      <c r="S81" s="263" t="s">
        <v>1286</v>
      </c>
      <c r="T81" s="263"/>
      <c r="U81" s="263" t="s">
        <v>770</v>
      </c>
      <c r="V81" s="261">
        <v>800</v>
      </c>
      <c r="W81" s="262">
        <v>0</v>
      </c>
      <c r="X81" s="262">
        <v>0</v>
      </c>
      <c r="Y81" s="262">
        <v>0</v>
      </c>
      <c r="Z81" s="267">
        <f>SUM(V81:Y81)</f>
        <v>800</v>
      </c>
    </row>
    <row r="82" spans="1:26" s="81" customFormat="1" outlineLevel="1" x14ac:dyDescent="0.3">
      <c r="A82" s="263">
        <f t="shared" si="10"/>
        <v>3</v>
      </c>
      <c r="B82" s="263" t="s">
        <v>1287</v>
      </c>
      <c r="C82" s="263"/>
      <c r="D82" s="263" t="s">
        <v>764</v>
      </c>
      <c r="E82" s="261">
        <v>720</v>
      </c>
      <c r="F82" s="262">
        <v>600</v>
      </c>
      <c r="G82" s="262">
        <v>350</v>
      </c>
      <c r="H82" s="262">
        <v>50</v>
      </c>
      <c r="I82" s="267">
        <f>SUM(E82:H82)</f>
        <v>1720</v>
      </c>
      <c r="R82" s="263">
        <f t="shared" si="9"/>
        <v>3</v>
      </c>
      <c r="S82" s="263" t="s">
        <v>1287</v>
      </c>
      <c r="T82" s="263"/>
      <c r="U82" s="263" t="s">
        <v>764</v>
      </c>
      <c r="V82" s="261">
        <v>720</v>
      </c>
      <c r="W82" s="262">
        <v>600</v>
      </c>
      <c r="X82" s="262">
        <v>350</v>
      </c>
      <c r="Y82" s="262">
        <v>50</v>
      </c>
      <c r="Z82" s="267">
        <f>SUM(V82:Y82)</f>
        <v>1720</v>
      </c>
    </row>
    <row r="83" spans="1:26" s="81" customFormat="1" outlineLevel="1" x14ac:dyDescent="0.3">
      <c r="A83" s="263">
        <f t="shared" si="10"/>
        <v>4</v>
      </c>
      <c r="B83" s="263"/>
      <c r="C83" s="263"/>
      <c r="D83" s="263"/>
      <c r="E83" s="261"/>
      <c r="F83" s="262"/>
      <c r="G83" s="262"/>
      <c r="H83" s="262"/>
      <c r="I83" s="267"/>
      <c r="R83" s="263">
        <f t="shared" si="9"/>
        <v>4</v>
      </c>
      <c r="S83" s="263"/>
      <c r="T83" s="263"/>
      <c r="U83" s="263"/>
      <c r="V83" s="261"/>
      <c r="W83" s="262"/>
      <c r="X83" s="262"/>
      <c r="Y83" s="262"/>
      <c r="Z83" s="267"/>
    </row>
    <row r="84" spans="1:26" s="81" customFormat="1" outlineLevel="1" x14ac:dyDescent="0.3">
      <c r="A84" s="263">
        <f t="shared" si="10"/>
        <v>5</v>
      </c>
      <c r="B84" s="263"/>
      <c r="C84" s="263"/>
      <c r="D84" s="263"/>
      <c r="E84" s="261"/>
      <c r="F84" s="262"/>
      <c r="G84" s="262"/>
      <c r="H84" s="262"/>
      <c r="I84" s="267"/>
      <c r="R84" s="263">
        <f t="shared" si="9"/>
        <v>5</v>
      </c>
      <c r="S84" s="263"/>
      <c r="T84" s="263"/>
      <c r="U84" s="263"/>
      <c r="V84" s="261"/>
      <c r="W84" s="262"/>
      <c r="X84" s="262"/>
      <c r="Y84" s="262"/>
      <c r="Z84" s="267"/>
    </row>
    <row r="85" spans="1:26" s="81" customFormat="1" outlineLevel="1" x14ac:dyDescent="0.3">
      <c r="A85" s="263">
        <f t="shared" si="10"/>
        <v>6</v>
      </c>
      <c r="B85" s="263" t="s">
        <v>784</v>
      </c>
      <c r="C85" s="263"/>
      <c r="D85" s="263" t="s">
        <v>764</v>
      </c>
      <c r="E85" s="261">
        <v>300</v>
      </c>
      <c r="F85" s="262">
        <v>500</v>
      </c>
      <c r="G85" s="262">
        <v>200</v>
      </c>
      <c r="H85" s="262">
        <v>50</v>
      </c>
      <c r="I85" s="267">
        <f>SUM(E85:H85)</f>
        <v>1050</v>
      </c>
      <c r="R85" s="263">
        <f t="shared" si="9"/>
        <v>6</v>
      </c>
      <c r="S85" s="263" t="s">
        <v>784</v>
      </c>
      <c r="T85" s="263"/>
      <c r="U85" s="263" t="s">
        <v>764</v>
      </c>
      <c r="V85" s="261">
        <v>300</v>
      </c>
      <c r="W85" s="262">
        <v>500</v>
      </c>
      <c r="X85" s="262">
        <v>200</v>
      </c>
      <c r="Y85" s="262">
        <v>50</v>
      </c>
      <c r="Z85" s="267">
        <f>SUM(V85:Y85)</f>
        <v>1050</v>
      </c>
    </row>
    <row r="86" spans="1:26" s="81" customFormat="1" outlineLevel="1" x14ac:dyDescent="0.3">
      <c r="A86" s="263">
        <f t="shared" si="10"/>
        <v>7</v>
      </c>
      <c r="B86" s="263"/>
      <c r="C86" s="263"/>
      <c r="D86" s="263"/>
      <c r="E86" s="261"/>
      <c r="F86" s="262"/>
      <c r="G86" s="262"/>
      <c r="H86" s="262"/>
      <c r="I86" s="267">
        <f>SUM(E86:H86)</f>
        <v>0</v>
      </c>
      <c r="R86" s="263">
        <f t="shared" si="9"/>
        <v>7</v>
      </c>
      <c r="S86" s="263"/>
      <c r="T86" s="263"/>
      <c r="U86" s="263"/>
      <c r="V86" s="261"/>
      <c r="W86" s="262"/>
      <c r="X86" s="262"/>
      <c r="Y86" s="262"/>
      <c r="Z86" s="267">
        <f>SUM(V86:Y86)</f>
        <v>0</v>
      </c>
    </row>
    <row r="87" spans="1:26" outlineLevel="1" x14ac:dyDescent="0.3">
      <c r="A87" s="263">
        <f t="shared" si="10"/>
        <v>8</v>
      </c>
      <c r="B87" s="113" t="s">
        <v>765</v>
      </c>
      <c r="C87" s="113"/>
      <c r="D87" s="113"/>
      <c r="E87" s="128">
        <f>Tabelle51324283261[[#Totals],[Aufwandsentschädigungen]]</f>
        <v>0</v>
      </c>
      <c r="F87" s="129">
        <f>Tabelle51324283261[[#Totals],[Interne Reisekosten]]</f>
        <v>0</v>
      </c>
      <c r="G87" s="129">
        <f>Tabelle51324283261[[#Totals],[Raum + Unterkunft intern]]</f>
        <v>0</v>
      </c>
      <c r="H87" s="129">
        <f>Tabelle51324283261[[#Totals],[Repräsentation/Bewirtung intern]]</f>
        <v>0</v>
      </c>
      <c r="I87" s="268">
        <f>SUM(E87:H87)</f>
        <v>0</v>
      </c>
      <c r="R87" s="98">
        <f t="shared" si="9"/>
        <v>8</v>
      </c>
      <c r="S87" s="113" t="s">
        <v>765</v>
      </c>
      <c r="T87" s="113"/>
      <c r="U87" s="113"/>
      <c r="V87" s="128">
        <f>Tabelle513242832[[#Totals],[Aufwandsentschädigungen]]</f>
        <v>200</v>
      </c>
      <c r="W87" s="129">
        <f>Tabelle513242832[[#Totals],[Interne Reisekosten]]</f>
        <v>300</v>
      </c>
      <c r="X87" s="129">
        <f>Tabelle513242832[[#Totals],[Raum + Unterkunft intern]]</f>
        <v>100</v>
      </c>
      <c r="Y87" s="129">
        <f>Tabelle513242832[[#Totals],[Repräsentation/Bewirtung intern]]</f>
        <v>500</v>
      </c>
      <c r="Z87" s="268">
        <f>SUM(V87:Y87)</f>
        <v>1100</v>
      </c>
    </row>
    <row r="88" spans="1:26" s="81" customFormat="1" ht="15.75" customHeight="1" outlineLevel="1" thickBot="1" x14ac:dyDescent="0.35">
      <c r="A88" s="263">
        <f t="shared" si="10"/>
        <v>9</v>
      </c>
      <c r="B88" s="264" t="s">
        <v>606</v>
      </c>
      <c r="C88" s="264"/>
      <c r="D88" s="264" t="s">
        <v>766</v>
      </c>
      <c r="E88" s="265">
        <v>200</v>
      </c>
      <c r="F88" s="266">
        <v>500</v>
      </c>
      <c r="G88" s="266">
        <v>500</v>
      </c>
      <c r="H88" s="266">
        <v>50</v>
      </c>
      <c r="I88" s="269">
        <f>SUM(E88:H88)</f>
        <v>1250</v>
      </c>
      <c r="R88" s="263">
        <f t="shared" si="9"/>
        <v>9</v>
      </c>
      <c r="S88" s="264" t="s">
        <v>606</v>
      </c>
      <c r="T88" s="264"/>
      <c r="U88" s="264" t="s">
        <v>766</v>
      </c>
      <c r="V88" s="265">
        <v>200</v>
      </c>
      <c r="W88" s="266">
        <v>500</v>
      </c>
      <c r="X88" s="266">
        <v>500</v>
      </c>
      <c r="Y88" s="266">
        <v>50</v>
      </c>
      <c r="Z88" s="269">
        <f>SUM(V88:Y88)</f>
        <v>1250</v>
      </c>
    </row>
    <row r="89" spans="1:26" ht="23.25" customHeight="1" thickBot="1" x14ac:dyDescent="0.35">
      <c r="A89" s="98"/>
      <c r="B89" s="98"/>
      <c r="C89" s="98"/>
      <c r="D89" s="107" t="s">
        <v>697</v>
      </c>
      <c r="E89" s="274">
        <f>SUBTOTAL(9,Tabelle61525293362[Aufwandsentschädigungen])</f>
        <v>2020</v>
      </c>
      <c r="F89" s="387">
        <f>SUBTOTAL(9,Tabelle61525293362[Interne Reisekosten])</f>
        <v>1600</v>
      </c>
      <c r="G89" s="387">
        <f>SUBTOTAL(9,Tabelle61525293362[Raum + Unterkunft intern])</f>
        <v>1050</v>
      </c>
      <c r="H89" s="387">
        <f>SUBTOTAL(9,Tabelle61525293362[Repräsentation/Bewirtung intern])</f>
        <v>150</v>
      </c>
      <c r="I89" s="674">
        <f>SUBTOTAL(9,Tabelle61525293362[Gesamt])</f>
        <v>4820</v>
      </c>
      <c r="R89" s="98"/>
      <c r="S89" s="98"/>
      <c r="T89" s="98"/>
      <c r="U89" s="107" t="s">
        <v>697</v>
      </c>
      <c r="V89" s="274">
        <f>SUBTOTAL(9,Tabelle615252933[Aufwandsentschädigungen])</f>
        <v>2220</v>
      </c>
      <c r="W89" s="387">
        <f>SUBTOTAL(9,Tabelle615252933[Interne Reisekosten])</f>
        <v>1900</v>
      </c>
      <c r="X89" s="387">
        <f>SUBTOTAL(9,Tabelle615252933[Raum + Unterkunft intern])</f>
        <v>1150</v>
      </c>
      <c r="Y89" s="387">
        <f>SUBTOTAL(9,Tabelle615252933[Repräsentation/Bewirtung intern])</f>
        <v>650</v>
      </c>
      <c r="Z89" s="674">
        <f>SUBTOTAL(9,Tabelle615252933[Gesamt])</f>
        <v>5920</v>
      </c>
    </row>
  </sheetData>
  <sheetProtection insertRows="0" insertHyperlinks="0" selectLockedCells="1" sort="0" autoFilter="0" pivotTables="0"/>
  <hyperlinks>
    <hyperlink ref="T56" location="M_I!F5" display="M_I!F5" xr:uid="{00000000-0004-0000-0B00-000000000000}"/>
    <hyperlink ref="U56" location="M_I!F6" display="M_I!F6" xr:uid="{00000000-0004-0000-0B00-000001000000}"/>
    <hyperlink ref="V56" location="M_I!F7" display="M_I!F7" xr:uid="{00000000-0004-0000-0B00-000002000000}"/>
    <hyperlink ref="T74" location="M_I!F6" display="M_I!F6" xr:uid="{00000000-0004-0000-0B00-000003000000}"/>
    <hyperlink ref="U74" location="M_I!F7" display="M_I!F7" xr:uid="{00000000-0004-0000-0B00-000004000000}"/>
    <hyperlink ref="V74" location="M_I!F11" display="M_I!F11" xr:uid="{00000000-0004-0000-0B00-000005000000}"/>
    <hyperlink ref="V89" location="M_I!F11" display="M_I!F11" xr:uid="{00000000-0004-0000-0B00-000006000000}"/>
    <hyperlink ref="W74" location="M_I!F12" display="M_I!F12" xr:uid="{00000000-0004-0000-0B00-000007000000}"/>
    <hyperlink ref="W89" location="M_I!F12" display="M_I!F12" xr:uid="{00000000-0004-0000-0B00-000008000000}"/>
    <hyperlink ref="X74" location="M_I!F13" display="M_I!F13" xr:uid="{00000000-0004-0000-0B00-000009000000}"/>
    <hyperlink ref="X89" location="M_I!F13" display="M_I!F13" xr:uid="{00000000-0004-0000-0B00-00000A000000}"/>
    <hyperlink ref="Y74" location="M_I!F14" display="M_I!F14" xr:uid="{00000000-0004-0000-0B00-00000B000000}"/>
    <hyperlink ref="Y89" location="M_I!F14" display="M_I!F14" xr:uid="{00000000-0004-0000-0B00-00000C000000}"/>
    <hyperlink ref="W56" location="M_I!F15" display="M_I!F15" xr:uid="{00000000-0004-0000-0B00-00000D000000}"/>
    <hyperlink ref="X56" location="M_I!F16" display="M_I!F16" xr:uid="{00000000-0004-0000-0B00-00000E000000}"/>
    <hyperlink ref="Z74" location="M_I!F18" display="M_I!F18" xr:uid="{00000000-0004-0000-0B00-00000F000000}"/>
    <hyperlink ref="AA74" location="M_I!F19" display="M_I!F19" xr:uid="{00000000-0004-0000-0B00-000010000000}"/>
    <hyperlink ref="AB74" location="M_I!F20" display="M_I!F20" xr:uid="{00000000-0004-0000-0B00-000011000000}"/>
    <hyperlink ref="Y56" location="M_I!F17" display="M_I!F17" xr:uid="{00000000-0004-0000-0B00-000012000000}"/>
    <hyperlink ref="Z56" location="M_I!F18" display="M_I!F18" xr:uid="{00000000-0004-0000-0B00-000013000000}"/>
    <hyperlink ref="AA56" location="M_I!F19" display="M_I!F19" xr:uid="{00000000-0004-0000-0B00-000014000000}"/>
    <hyperlink ref="AB56" location="M_I!F20" display="M_I!F20" xr:uid="{00000000-0004-0000-0B00-000015000000}"/>
    <hyperlink ref="AC74" location="M_I!F21" display="M_I!F21" xr:uid="{00000000-0004-0000-0B00-000016000000}"/>
    <hyperlink ref="AD74" location="M_I!F22" display="M_I!F22" xr:uid="{00000000-0004-0000-0B00-000017000000}"/>
    <hyperlink ref="B11" location="M_I_AE_var" display="AE variabel" xr:uid="{00000000-0004-0000-0B00-000018000000}"/>
    <hyperlink ref="B12" location="M_I_RK_Int." display="Fahrtkosten und Verpflegungspauschalen" xr:uid="{00000000-0004-0000-0B00-000019000000}"/>
    <hyperlink ref="B13" location="M_I_R_U_Int." display="Raum- und Unterkunftskosten" xr:uid="{00000000-0004-0000-0B00-00001A000000}"/>
    <hyperlink ref="B14" location="M_I_Bew.Int." display="Bewirtung und Repräsentation intern" xr:uid="{00000000-0004-0000-0B00-00001B000000}"/>
    <hyperlink ref="B15" location="M_I_Hon_I" display="Honorare Fachseminare" xr:uid="{00000000-0004-0000-0B00-00001C000000}"/>
    <hyperlink ref="B16" location="M_I_Hon_II" display="Andere Honorare" xr:uid="{00000000-0004-0000-0B00-00001D000000}"/>
    <hyperlink ref="B17" location="M_I_Ext.RK" display="Ext. Reisekosten" xr:uid="{00000000-0004-0000-0B00-00001E000000}"/>
    <hyperlink ref="B18" location="M_I_Bew.Ext." display="Bewirtung und Repräsentation extern" xr:uid="{00000000-0004-0000-0B00-00001F000000}"/>
    <hyperlink ref="B19" location="M_I_R_U_Ext." display="Raum- und Unterkunftskosten Seminare und Veranst." xr:uid="{00000000-0004-0000-0B00-000020000000}"/>
    <hyperlink ref="B20" location="M_I_Druck" display="Druckkosten" xr:uid="{00000000-0004-0000-0B00-000021000000}"/>
    <hyperlink ref="B21" location="M_I_Sonst." display="Sonstige Kosten (Lizenzen, Allg. Geschäftsbetrieb)" xr:uid="{00000000-0004-0000-0B00-000022000000}"/>
    <hyperlink ref="B22" location="Rechtsk.FSen" display="Rechtsangelegenheiten" xr:uid="{00000000-0004-0000-0B00-000023000000}"/>
    <hyperlink ref="B7" location="M_I_Sonst_Einnahmen" display="Sonstige Einnahmen (Vorauszahlungen Bewirtung, Werbung, …)" xr:uid="{00000000-0004-0000-0B00-000024000000}"/>
    <hyperlink ref="B6" location="M_I_TN_Beiträge_II" display="Teilnahmebeiträge Veranstaltungen" xr:uid="{00000000-0004-0000-0B00-000025000000}"/>
    <hyperlink ref="B5" location="M_I_TN_Beiträge_I" display="Teilnahmebeiträge Seminare" xr:uid="{00000000-0004-0000-0B00-000026000000}"/>
    <hyperlink ref="J11" location="AEFKM_I_413.21" display="AEFKM_I_413.21" xr:uid="{00000000-0004-0000-0B00-000027000000}"/>
    <hyperlink ref="J12" location="AEFKM_I_527.40" display="AEFKM_I_527.40" xr:uid="{00000000-0004-0000-0B00-000028000000}"/>
    <hyperlink ref="J13" location="AEFKM_I_529.40" display="AEFKM_I_529.40" xr:uid="{00000000-0004-0000-0B00-000029000000}"/>
    <hyperlink ref="J14" location="AEFKM_I_531.40" display="AEFKM_I_531.40" xr:uid="{00000000-0004-0000-0B00-00002A000000}"/>
    <hyperlink ref="J15" location="SemM_I_551.10" display="SemM_I_551.10" xr:uid="{00000000-0004-0000-0B00-00002B000000}"/>
    <hyperlink ref="J17" location="SemM_I_551.30" display="SemM_I_551.30" xr:uid="{00000000-0004-0000-0B00-00002C000000}"/>
    <hyperlink ref="J18" location="SemM_I_551.40" display="SemM_I_551.40" xr:uid="{00000000-0004-0000-0B00-00002D000000}"/>
    <hyperlink ref="J19" location="SemM_I_551.50" display="SemM_I_551.50" xr:uid="{00000000-0004-0000-0B00-00002E000000}"/>
    <hyperlink ref="J20" location="MaßnM_I_551.60" display="MaßnM_I_551.60" xr:uid="{00000000-0004-0000-0B00-00002F000000}"/>
    <hyperlink ref="J21" location="MaßnM_I_551.70" display="MaßnM_I_551.70" xr:uid="{00000000-0004-0000-0B00-000030000000}"/>
    <hyperlink ref="J22" location="MaßnM_I_560.70" display="MaßnM_I_560.70" xr:uid="{00000000-0004-0000-0B00-000031000000}"/>
    <hyperlink ref="J5" location="SemM_I_210.10" display="SemM_I_210.10" xr:uid="{00000000-0004-0000-0B00-000032000000}"/>
    <hyperlink ref="J6" location="MaßnM_I_220.10" display="MaßnM_I_220.10" xr:uid="{00000000-0004-0000-0B00-000033000000}"/>
    <hyperlink ref="J7" location="MaßnM_I_230.10" display="MaßnM_I_230.10" xr:uid="{00000000-0004-0000-0B00-000034000000}"/>
    <hyperlink ref="C56" location="M_I!F5" display="M_I!F5" xr:uid="{00000000-0004-0000-0B00-000035000000}"/>
    <hyperlink ref="D56" location="M_I!F6" display="M_I!F6" xr:uid="{00000000-0004-0000-0B00-000036000000}"/>
    <hyperlink ref="E56" location="M_I!F7" display="M_I!F7" xr:uid="{00000000-0004-0000-0B00-000037000000}"/>
    <hyperlink ref="C74" location="M_I!F6" display="M_I!F6" xr:uid="{00000000-0004-0000-0B00-000038000000}"/>
    <hyperlink ref="D74" location="M_I!F7" display="M_I!F7" xr:uid="{00000000-0004-0000-0B00-000039000000}"/>
    <hyperlink ref="E74" location="M_I!F11" display="M_I!F11" xr:uid="{00000000-0004-0000-0B00-00003A000000}"/>
    <hyperlink ref="E89" location="M_I!F11" display="M_I!F11" xr:uid="{00000000-0004-0000-0B00-00003B000000}"/>
    <hyperlink ref="F74" location="M_I!F12" display="M_I!F12" xr:uid="{00000000-0004-0000-0B00-00003C000000}"/>
    <hyperlink ref="F89" location="M_I!F12" display="M_I!F12" xr:uid="{00000000-0004-0000-0B00-00003D000000}"/>
    <hyperlink ref="G74" location="M_I!F13" display="M_I!F13" xr:uid="{00000000-0004-0000-0B00-00003E000000}"/>
    <hyperlink ref="G89" location="M_I!F13" display="M_I!F13" xr:uid="{00000000-0004-0000-0B00-00003F000000}"/>
    <hyperlink ref="H74" location="M_I!F14" display="M_I!F14" xr:uid="{00000000-0004-0000-0B00-000040000000}"/>
    <hyperlink ref="H89" location="M_I!F14" display="M_I!F14" xr:uid="{00000000-0004-0000-0B00-000041000000}"/>
    <hyperlink ref="F56" location="M_I!F15" display="M_I!F15" xr:uid="{00000000-0004-0000-0B00-000042000000}"/>
    <hyperlink ref="G56" location="M_I!F16" display="M_I!F16" xr:uid="{00000000-0004-0000-0B00-000043000000}"/>
    <hyperlink ref="I74" location="M_I!F18" display="M_I!F18" xr:uid="{00000000-0004-0000-0B00-000044000000}"/>
    <hyperlink ref="J74" location="M_I!F19" display="M_I!F19" xr:uid="{00000000-0004-0000-0B00-000045000000}"/>
    <hyperlink ref="K74" location="M_I!F20" display="M_I!F20" xr:uid="{00000000-0004-0000-0B00-000046000000}"/>
    <hyperlink ref="H56" location="M_I!F17" display="M_I!F17" xr:uid="{00000000-0004-0000-0B00-000047000000}"/>
    <hyperlink ref="I56" location="M_I!F18" display="M_I!F18" xr:uid="{00000000-0004-0000-0B00-000048000000}"/>
    <hyperlink ref="J56" location="M_I!F19" display="M_I!F19" xr:uid="{00000000-0004-0000-0B00-000049000000}"/>
    <hyperlink ref="K56" location="M_I!F20" display="M_I!F20" xr:uid="{00000000-0004-0000-0B00-00004A000000}"/>
    <hyperlink ref="L74" location="M_I!F21" display="M_I!F21" xr:uid="{00000000-0004-0000-0B00-00004B000000}"/>
    <hyperlink ref="M74" location="M_I!F22" display="M_I!F22" xr:uid="{00000000-0004-0000-0B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F89"/>
  <sheetViews>
    <sheetView showGridLines="0" zoomScaleNormal="100" workbookViewId="0">
      <selection activeCell="F4" sqref="F4"/>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77734375" customWidth="1"/>
    <col min="5" max="5" width="16" customWidth="1"/>
    <col min="6" max="6" width="14" customWidth="1"/>
    <col min="7" max="7" width="12.77734375" customWidth="1"/>
    <col min="8" max="8" width="13.33203125" customWidth="1"/>
    <col min="9" max="9" width="12.109375" customWidth="1"/>
    <col min="10" max="10" width="13.44140625" customWidth="1"/>
    <col min="11" max="11" width="12" customWidth="1"/>
    <col min="19" max="19" width="20.44140625" customWidth="1"/>
  </cols>
  <sheetData>
    <row r="1" spans="1:12" ht="18" x14ac:dyDescent="0.35">
      <c r="A1" s="11"/>
      <c r="B1" s="7" t="s">
        <v>777</v>
      </c>
    </row>
    <row r="2" spans="1:12" ht="19.5" customHeight="1" thickBot="1" x14ac:dyDescent="0.35">
      <c r="B2" s="1035"/>
    </row>
    <row r="3" spans="1:12" s="235" customFormat="1" ht="34.5" customHeight="1" thickBot="1" x14ac:dyDescent="0.35">
      <c r="A3" s="236" t="s">
        <v>1</v>
      </c>
      <c r="B3" s="385" t="s">
        <v>4</v>
      </c>
      <c r="C3" s="364" t="s">
        <v>717</v>
      </c>
      <c r="D3" s="365" t="s">
        <v>718</v>
      </c>
      <c r="E3" s="366" t="s">
        <v>1553</v>
      </c>
      <c r="F3" s="366" t="s">
        <v>1370</v>
      </c>
      <c r="G3" s="366" t="s">
        <v>1385</v>
      </c>
      <c r="H3" s="366" t="s">
        <v>1386</v>
      </c>
      <c r="I3" s="231" t="s">
        <v>721</v>
      </c>
      <c r="J3" s="233" t="s">
        <v>7</v>
      </c>
      <c r="K3" s="234" t="s">
        <v>722</v>
      </c>
      <c r="L3" s="366" t="s">
        <v>723</v>
      </c>
    </row>
    <row r="4" spans="1:12" ht="18.75" customHeight="1" x14ac:dyDescent="0.3">
      <c r="A4" s="172" t="s">
        <v>724</v>
      </c>
      <c r="B4" s="173"/>
      <c r="C4" s="173"/>
      <c r="D4" s="173"/>
      <c r="E4" s="1043"/>
      <c r="F4" s="1044"/>
      <c r="G4" s="1001"/>
      <c r="H4" s="1062"/>
      <c r="I4" s="1037"/>
      <c r="J4" s="174"/>
      <c r="K4" s="50"/>
      <c r="L4" s="80"/>
    </row>
    <row r="5" spans="1:12" x14ac:dyDescent="0.3">
      <c r="A5" s="175" t="s">
        <v>76</v>
      </c>
      <c r="B5" s="210" t="s">
        <v>650</v>
      </c>
      <c r="C5" s="146"/>
      <c r="D5" s="146"/>
      <c r="E5" s="170">
        <v>23500</v>
      </c>
      <c r="F5" s="1027"/>
      <c r="G5" s="1022">
        <v>29578</v>
      </c>
      <c r="H5" s="1012">
        <f>Tabelle4102327[[#Totals],[Teilnahmebeiträge Fachseminare]]</f>
        <v>29578</v>
      </c>
      <c r="I5" s="1002">
        <v>32000</v>
      </c>
      <c r="J5" s="743">
        <v>24965</v>
      </c>
      <c r="K5" s="176"/>
      <c r="L5" s="146"/>
    </row>
    <row r="6" spans="1:12" x14ac:dyDescent="0.3">
      <c r="A6" s="175" t="s">
        <v>86</v>
      </c>
      <c r="B6" s="210" t="s">
        <v>651</v>
      </c>
      <c r="C6" s="146"/>
      <c r="D6" s="146"/>
      <c r="E6" s="170"/>
      <c r="F6" s="1027"/>
      <c r="G6" s="1022">
        <v>0</v>
      </c>
      <c r="H6" s="1012">
        <f>Tabelle4102327[[#Totals],[Teilnahmebeiträge Veranstaltungen]]+Tabelle5132428[[#Totals],[Teilnahmebeiträge Veranstaltungen]]</f>
        <v>0</v>
      </c>
      <c r="I6" s="1002">
        <v>0</v>
      </c>
      <c r="J6" s="743">
        <v>0</v>
      </c>
      <c r="K6" s="176"/>
      <c r="L6" s="146"/>
    </row>
    <row r="7" spans="1:12" ht="15" thickBot="1" x14ac:dyDescent="0.35">
      <c r="A7" s="175" t="s">
        <v>93</v>
      </c>
      <c r="B7" s="210" t="s">
        <v>725</v>
      </c>
      <c r="C7" s="146"/>
      <c r="D7" s="146"/>
      <c r="E7" s="170"/>
      <c r="F7" s="1027"/>
      <c r="G7" s="1022">
        <v>0</v>
      </c>
      <c r="H7" s="1012">
        <f>Tabelle4102327[[#Totals],[Sonstige Einnahmen]]+Tabelle5132428[[#Totals],[Sonstige Einnahmen]]</f>
        <v>0</v>
      </c>
      <c r="I7" s="1002">
        <v>0</v>
      </c>
      <c r="J7" s="743">
        <v>0</v>
      </c>
      <c r="K7" s="176"/>
      <c r="L7" s="146"/>
    </row>
    <row r="8" spans="1:12" ht="15" thickBot="1" x14ac:dyDescent="0.35">
      <c r="A8" s="177"/>
      <c r="B8" s="178"/>
      <c r="C8" s="178"/>
      <c r="D8" s="178" t="s">
        <v>556</v>
      </c>
      <c r="E8" s="1045">
        <f t="shared" ref="E8:J8" si="0">SUBTOTAL(9,E5:E7)</f>
        <v>23500</v>
      </c>
      <c r="F8" s="168">
        <f t="shared" si="0"/>
        <v>0</v>
      </c>
      <c r="G8" s="1055">
        <f t="shared" si="0"/>
        <v>29578</v>
      </c>
      <c r="H8" s="1013">
        <f t="shared" si="0"/>
        <v>29578</v>
      </c>
      <c r="I8" s="1003">
        <f t="shared" si="0"/>
        <v>32000</v>
      </c>
      <c r="J8" s="167">
        <f t="shared" si="0"/>
        <v>24965</v>
      </c>
      <c r="K8" s="179"/>
      <c r="L8" s="367"/>
    </row>
    <row r="9" spans="1:12" ht="18.75" customHeight="1" x14ac:dyDescent="0.3">
      <c r="A9" s="180" t="s">
        <v>119</v>
      </c>
      <c r="B9" s="181"/>
      <c r="C9" s="181"/>
      <c r="D9" s="181"/>
      <c r="E9" s="169"/>
      <c r="F9" s="1029"/>
      <c r="G9" s="1004"/>
      <c r="H9" s="1014"/>
      <c r="I9" s="1004"/>
      <c r="J9" s="181"/>
      <c r="K9" s="182"/>
      <c r="L9" s="146"/>
    </row>
    <row r="10" spans="1:12" x14ac:dyDescent="0.3">
      <c r="A10" s="183" t="s">
        <v>134</v>
      </c>
      <c r="B10" s="146" t="s">
        <v>726</v>
      </c>
      <c r="C10" s="146"/>
      <c r="D10" s="146"/>
      <c r="E10" s="170">
        <v>9600</v>
      </c>
      <c r="F10" s="1027"/>
      <c r="G10" s="1023">
        <v>9600</v>
      </c>
      <c r="H10" s="1015">
        <f>800*12</f>
        <v>9600</v>
      </c>
      <c r="I10" s="1005">
        <f>800*12</f>
        <v>9600</v>
      </c>
      <c r="J10" s="743">
        <v>9520</v>
      </c>
      <c r="K10" s="176"/>
      <c r="L10" s="146"/>
    </row>
    <row r="11" spans="1:12" x14ac:dyDescent="0.3">
      <c r="A11" s="183" t="s">
        <v>144</v>
      </c>
      <c r="B11" s="210" t="s">
        <v>727</v>
      </c>
      <c r="C11" s="146"/>
      <c r="D11" s="146"/>
      <c r="E11" s="170">
        <v>4400</v>
      </c>
      <c r="F11" s="1027"/>
      <c r="G11" s="1022">
        <v>5000</v>
      </c>
      <c r="H11" s="1012">
        <f>Tabelle6152529[[#Totals],[Aufwandsentschädigungen]]</f>
        <v>4400</v>
      </c>
      <c r="I11" s="1002">
        <v>4400</v>
      </c>
      <c r="J11" s="743">
        <v>2350</v>
      </c>
      <c r="K11" s="176"/>
      <c r="L11" s="146"/>
    </row>
    <row r="12" spans="1:12" x14ac:dyDescent="0.3">
      <c r="A12" s="183" t="s">
        <v>1205</v>
      </c>
      <c r="B12" s="210" t="s">
        <v>729</v>
      </c>
      <c r="C12" s="146"/>
      <c r="D12" s="146"/>
      <c r="E12" s="170">
        <v>12000</v>
      </c>
      <c r="F12" s="1027"/>
      <c r="G12" s="1022">
        <v>7800</v>
      </c>
      <c r="H12" s="1012">
        <f>Tabelle6152529[[#Totals],[Interne Reisekosten]]</f>
        <v>6000</v>
      </c>
      <c r="I12" s="1002">
        <v>8000</v>
      </c>
      <c r="J12" s="743">
        <v>1852.7</v>
      </c>
      <c r="K12" s="176"/>
      <c r="L12" s="146"/>
    </row>
    <row r="13" spans="1:12" ht="15" customHeight="1" x14ac:dyDescent="0.3">
      <c r="A13" s="183" t="s">
        <v>275</v>
      </c>
      <c r="B13" s="210" t="s">
        <v>730</v>
      </c>
      <c r="C13" s="184"/>
      <c r="D13" s="184"/>
      <c r="E13" s="1046">
        <v>2500</v>
      </c>
      <c r="F13" s="1030"/>
      <c r="G13" s="1022">
        <v>1700</v>
      </c>
      <c r="H13" s="1039">
        <f>Tabelle6152529[[#Totals],[Raum + Unterkunft intern]]</f>
        <v>1700</v>
      </c>
      <c r="I13" s="1002">
        <v>2000</v>
      </c>
      <c r="J13" s="744">
        <v>144</v>
      </c>
      <c r="K13" s="185"/>
      <c r="L13" s="146"/>
    </row>
    <row r="14" spans="1:12" x14ac:dyDescent="0.3">
      <c r="A14" s="183" t="s">
        <v>298</v>
      </c>
      <c r="B14" s="212" t="s">
        <v>731</v>
      </c>
      <c r="C14" s="80"/>
      <c r="D14" s="80"/>
      <c r="E14" s="1047">
        <v>500</v>
      </c>
      <c r="F14" s="1031"/>
      <c r="G14" s="1022">
        <v>500</v>
      </c>
      <c r="H14" s="1040">
        <f>Tabelle6152529[[#Totals],[Repräsentation/Bewirtung intern]]</f>
        <v>520</v>
      </c>
      <c r="I14" s="1002">
        <v>500</v>
      </c>
      <c r="J14" s="745">
        <v>24</v>
      </c>
      <c r="K14" s="186"/>
      <c r="L14" s="80"/>
    </row>
    <row r="15" spans="1:12" x14ac:dyDescent="0.3">
      <c r="A15" s="183" t="s">
        <v>341</v>
      </c>
      <c r="B15" s="210" t="s">
        <v>732</v>
      </c>
      <c r="C15" s="146"/>
      <c r="D15" s="146"/>
      <c r="E15" s="170">
        <v>22000</v>
      </c>
      <c r="F15" s="1027"/>
      <c r="G15" s="1022">
        <v>25715</v>
      </c>
      <c r="H15" s="1012">
        <f>Tabelle4102327[[#Totals],[Honorare Dozierende Fachseminare]]</f>
        <v>25715</v>
      </c>
      <c r="I15" s="1002">
        <f>42000*0.7</f>
        <v>29399.999999999996</v>
      </c>
      <c r="J15" s="743">
        <v>25892.880000000001</v>
      </c>
      <c r="K15" s="176"/>
      <c r="L15" s="146"/>
    </row>
    <row r="16" spans="1:12" x14ac:dyDescent="0.3">
      <c r="A16" s="183" t="s">
        <v>352</v>
      </c>
      <c r="B16" s="211" t="s">
        <v>318</v>
      </c>
      <c r="C16" s="80"/>
      <c r="D16" s="80"/>
      <c r="E16" s="1047"/>
      <c r="F16" s="1031"/>
      <c r="G16" s="1022">
        <v>2500</v>
      </c>
      <c r="H16" s="1018">
        <f>Tabelle5132428[[#Totals],[Andere Honorare]]</f>
        <v>2500</v>
      </c>
      <c r="I16" s="1002">
        <f>42000*0.15</f>
        <v>6300</v>
      </c>
      <c r="J16" s="745">
        <v>0</v>
      </c>
      <c r="K16" s="186"/>
      <c r="L16" s="80"/>
    </row>
    <row r="17" spans="1:12" x14ac:dyDescent="0.3">
      <c r="A17" s="183" t="s">
        <v>360</v>
      </c>
      <c r="B17" s="211" t="s">
        <v>733</v>
      </c>
      <c r="C17" s="80"/>
      <c r="D17" s="80"/>
      <c r="E17" s="1047"/>
      <c r="F17" s="1031"/>
      <c r="G17" s="1022">
        <v>500</v>
      </c>
      <c r="H17" s="1018">
        <f>Tabelle4102327[[#Totals],[Externe Reisekosten]]</f>
        <v>500</v>
      </c>
      <c r="I17" s="1002">
        <f>42000*0.15</f>
        <v>6300</v>
      </c>
      <c r="J17" s="745">
        <v>0</v>
      </c>
      <c r="K17" s="186"/>
      <c r="L17" s="80"/>
    </row>
    <row r="18" spans="1:12" x14ac:dyDescent="0.3">
      <c r="A18" s="183" t="s">
        <v>370</v>
      </c>
      <c r="B18" s="211" t="s">
        <v>363</v>
      </c>
      <c r="C18" s="80"/>
      <c r="D18" s="80"/>
      <c r="E18" s="1047"/>
      <c r="F18" s="1031"/>
      <c r="G18" s="1022">
        <v>450</v>
      </c>
      <c r="H18" s="1018">
        <f>Tabelle4102327[[#Totals],[Repräsentation/Bewirtung extern]]+Tabelle5132428[[#Totals],[Repräsentation/Bewirtung extern]]</f>
        <v>450</v>
      </c>
      <c r="I18" s="1002">
        <v>300</v>
      </c>
      <c r="J18" s="745">
        <v>0</v>
      </c>
      <c r="K18" s="186"/>
      <c r="L18" s="80"/>
    </row>
    <row r="19" spans="1:12" x14ac:dyDescent="0.3">
      <c r="A19" s="183" t="s">
        <v>382</v>
      </c>
      <c r="B19" s="211" t="s">
        <v>734</v>
      </c>
      <c r="C19" s="80"/>
      <c r="D19" s="80"/>
      <c r="E19" s="1047">
        <v>1500</v>
      </c>
      <c r="F19" s="1031"/>
      <c r="G19" s="1022">
        <v>400</v>
      </c>
      <c r="H19" s="1018">
        <f>Tabelle4102327[[#Totals],[Raum + Unterkunft extern]]+Tabelle5132428[[#Totals],[Raum + Unterkunft extern]]</f>
        <v>400</v>
      </c>
      <c r="I19" s="1002">
        <v>4000</v>
      </c>
      <c r="J19" s="745">
        <v>0</v>
      </c>
      <c r="K19" s="186"/>
      <c r="L19" s="80"/>
    </row>
    <row r="20" spans="1:12" x14ac:dyDescent="0.3">
      <c r="A20" s="183" t="s">
        <v>392</v>
      </c>
      <c r="B20" s="212" t="s">
        <v>1229</v>
      </c>
      <c r="C20" s="80"/>
      <c r="D20" s="80"/>
      <c r="E20" s="1047"/>
      <c r="F20" s="1031"/>
      <c r="G20" s="1022">
        <v>1700</v>
      </c>
      <c r="H20" s="1040">
        <f>Tabelle4102327[[#Totals],[Verwaltungs- und Druckkosten]]+Tabelle5132428[[#Totals],[Druckkosten]]</f>
        <v>1703</v>
      </c>
      <c r="I20" s="1002">
        <v>0</v>
      </c>
      <c r="J20" s="745">
        <v>0</v>
      </c>
      <c r="K20" s="186"/>
      <c r="L20" s="80"/>
    </row>
    <row r="21" spans="1:12" x14ac:dyDescent="0.3">
      <c r="A21" s="183" t="s">
        <v>404</v>
      </c>
      <c r="B21" s="212" t="s">
        <v>397</v>
      </c>
      <c r="C21" s="80"/>
      <c r="D21" s="80"/>
      <c r="E21" s="1047">
        <v>2000</v>
      </c>
      <c r="F21" s="1031"/>
      <c r="G21" s="1022">
        <v>3500</v>
      </c>
      <c r="H21" s="1040">
        <f>Tabelle5132428[[#Totals],[Sonstige Kosten]]</f>
        <v>3500</v>
      </c>
      <c r="I21" s="1002">
        <v>3000</v>
      </c>
      <c r="J21" s="745">
        <v>2559.1</v>
      </c>
      <c r="K21" s="186"/>
      <c r="L21" s="80"/>
    </row>
    <row r="22" spans="1:12" ht="15" thickBot="1" x14ac:dyDescent="0.35">
      <c r="A22" s="183" t="s">
        <v>424</v>
      </c>
      <c r="B22" s="212" t="s">
        <v>675</v>
      </c>
      <c r="C22" s="80"/>
      <c r="D22" s="80"/>
      <c r="E22" s="1063">
        <v>1500</v>
      </c>
      <c r="F22" s="1064"/>
      <c r="G22" s="1024">
        <v>1000</v>
      </c>
      <c r="H22" s="1041">
        <f>Tabelle5132428[[#Totals],[Rechtsangelegenheiten]]</f>
        <v>1000</v>
      </c>
      <c r="I22" s="1006">
        <v>1500</v>
      </c>
      <c r="J22" s="745">
        <v>160.65</v>
      </c>
      <c r="K22" s="186"/>
      <c r="L22" s="80"/>
    </row>
    <row r="23" spans="1:12" ht="15" thickBot="1" x14ac:dyDescent="0.35">
      <c r="A23" s="187"/>
      <c r="B23" s="188"/>
      <c r="C23" s="188"/>
      <c r="D23" s="189" t="s">
        <v>556</v>
      </c>
      <c r="E23" s="194">
        <f t="shared" ref="E23:J23" si="1">SUBTOTAL(109,E10:E22)</f>
        <v>56000</v>
      </c>
      <c r="F23" s="194">
        <f t="shared" si="1"/>
        <v>0</v>
      </c>
      <c r="G23" s="194">
        <f t="shared" si="1"/>
        <v>60365</v>
      </c>
      <c r="H23" s="171">
        <f t="shared" si="1"/>
        <v>57988</v>
      </c>
      <c r="I23" s="171">
        <f t="shared" si="1"/>
        <v>75300</v>
      </c>
      <c r="J23" s="171">
        <f t="shared" si="1"/>
        <v>42503.33</v>
      </c>
      <c r="K23" s="190"/>
      <c r="L23" s="668"/>
    </row>
    <row r="24" spans="1:12" ht="15" thickBot="1" x14ac:dyDescent="0.35">
      <c r="A24" s="78"/>
      <c r="B24" s="80"/>
      <c r="C24" s="80"/>
      <c r="D24" s="80"/>
      <c r="E24" s="80"/>
      <c r="F24" s="80"/>
      <c r="G24" s="80"/>
      <c r="H24" s="80"/>
    </row>
    <row r="25" spans="1:12" ht="15" thickBot="1" x14ac:dyDescent="0.35">
      <c r="A25" s="78"/>
      <c r="B25" s="80"/>
      <c r="C25" s="80"/>
      <c r="D25" s="192" t="s">
        <v>735</v>
      </c>
      <c r="E25" s="193">
        <f>E8-Tabelle18222630[[#Totals],[Freie Eingabe Plan HHJ 23-24]]</f>
        <v>-32500</v>
      </c>
      <c r="F25" s="368">
        <f>G8-Tabelle18222630[[#Totals],[Freie Eingabe Plan HHJ 22-232]]</f>
        <v>-30787</v>
      </c>
      <c r="G25" s="368">
        <f>I8-Tabelle18222630[[#Totals],[Freie Eingabe Plan HHJ 21-22]]</f>
        <v>-43300</v>
      </c>
      <c r="H25" s="368">
        <f>H8-Tabelle18222630[[#Totals],[Rechnung HHJ 22-233]]</f>
        <v>-28410</v>
      </c>
      <c r="I25" s="368">
        <f>I8-Tabelle18222630[[#Totals],[Freie Eingabe Plan HHJ 21-22]]</f>
        <v>-43300</v>
      </c>
      <c r="J25" s="368">
        <f>J8-Tabelle18222630[[#Totals],[IST HHJ 21-22]]</f>
        <v>-17538.330000000002</v>
      </c>
      <c r="K25" s="368"/>
    </row>
    <row r="26" spans="1:12" x14ac:dyDescent="0.3">
      <c r="A26" s="77"/>
      <c r="B26" s="76"/>
      <c r="C26" s="76"/>
      <c r="D26" s="76"/>
      <c r="E26" s="76"/>
      <c r="F26" s="76"/>
      <c r="G26" s="76"/>
      <c r="H26" s="76"/>
    </row>
    <row r="27" spans="1:12" ht="15.6" x14ac:dyDescent="0.3">
      <c r="B27" s="114" t="s">
        <v>736</v>
      </c>
      <c r="C27" s="76"/>
      <c r="D27" s="76"/>
      <c r="E27" s="88"/>
      <c r="F27" s="76"/>
      <c r="G27" s="76"/>
      <c r="H27" s="76"/>
    </row>
    <row r="28" spans="1:12" ht="15.6" x14ac:dyDescent="0.3">
      <c r="B28" s="77" t="s">
        <v>737</v>
      </c>
      <c r="C28" s="76"/>
      <c r="D28" s="76"/>
      <c r="E28" s="88"/>
      <c r="F28" s="76"/>
      <c r="G28" s="76"/>
      <c r="H28" s="76"/>
    </row>
    <row r="29" spans="1:12" x14ac:dyDescent="0.3">
      <c r="B29" s="77" t="s">
        <v>738</v>
      </c>
      <c r="C29" s="80"/>
      <c r="D29" s="80"/>
      <c r="E29" s="89"/>
      <c r="F29" s="80"/>
      <c r="G29" s="80"/>
      <c r="H29" s="80"/>
    </row>
    <row r="30" spans="1:12" x14ac:dyDescent="0.3">
      <c r="A30" s="78"/>
      <c r="B30" s="80"/>
      <c r="C30" s="80"/>
      <c r="D30" s="80"/>
      <c r="E30" s="89"/>
      <c r="F30" s="80"/>
      <c r="G30" s="80"/>
      <c r="H30" s="80"/>
    </row>
    <row r="31" spans="1:12" x14ac:dyDescent="0.3">
      <c r="A31" s="77"/>
      <c r="B31" s="76"/>
      <c r="C31" s="76"/>
      <c r="D31" s="76"/>
      <c r="E31" s="76"/>
      <c r="F31" s="76"/>
      <c r="G31" s="76"/>
      <c r="H31" s="76"/>
    </row>
    <row r="32" spans="1:12" ht="15.6" x14ac:dyDescent="0.3">
      <c r="A32" s="7"/>
      <c r="B32" s="7" t="s">
        <v>1231</v>
      </c>
      <c r="D32" s="6" t="s">
        <v>739</v>
      </c>
    </row>
    <row r="33" spans="1:31" ht="16.2" thickBot="1" x14ac:dyDescent="0.35">
      <c r="A33" s="7"/>
    </row>
    <row r="34" spans="1:31" ht="15" thickBot="1" x14ac:dyDescent="0.35">
      <c r="A34" s="369"/>
      <c r="B34" s="370" t="s">
        <v>656</v>
      </c>
      <c r="C34" s="371" t="s">
        <v>76</v>
      </c>
      <c r="D34" s="372" t="s">
        <v>86</v>
      </c>
      <c r="E34" s="372" t="s">
        <v>93</v>
      </c>
      <c r="F34" s="373" t="s">
        <v>341</v>
      </c>
      <c r="G34" s="373"/>
      <c r="H34" s="373" t="s">
        <v>360</v>
      </c>
      <c r="I34" s="373" t="s">
        <v>370</v>
      </c>
      <c r="J34" s="373" t="s">
        <v>382</v>
      </c>
      <c r="K34" s="373" t="s">
        <v>392</v>
      </c>
      <c r="L34" s="374"/>
      <c r="R34" s="369"/>
      <c r="S34" s="370" t="s">
        <v>656</v>
      </c>
      <c r="T34" s="371" t="s">
        <v>76</v>
      </c>
      <c r="U34" s="372" t="s">
        <v>86</v>
      </c>
      <c r="V34" s="372" t="s">
        <v>93</v>
      </c>
      <c r="W34" s="373" t="s">
        <v>341</v>
      </c>
      <c r="X34" s="373"/>
      <c r="Y34" s="373" t="s">
        <v>360</v>
      </c>
      <c r="Z34" s="373" t="s">
        <v>370</v>
      </c>
      <c r="AA34" s="373" t="s">
        <v>382</v>
      </c>
      <c r="AB34" s="373" t="s">
        <v>392</v>
      </c>
      <c r="AC34" s="374"/>
    </row>
    <row r="35" spans="1:31" ht="55.8" thickBot="1" x14ac:dyDescent="0.35">
      <c r="A35" s="95" t="s">
        <v>740</v>
      </c>
      <c r="B35" s="139" t="s">
        <v>741</v>
      </c>
      <c r="C35" s="375" t="s">
        <v>742</v>
      </c>
      <c r="D35" s="376" t="s">
        <v>651</v>
      </c>
      <c r="E35" s="376" t="s">
        <v>743</v>
      </c>
      <c r="F35" s="376" t="s">
        <v>315</v>
      </c>
      <c r="G35" s="376" t="s">
        <v>748</v>
      </c>
      <c r="H35" s="376" t="s">
        <v>321</v>
      </c>
      <c r="I35" s="376" t="s">
        <v>744</v>
      </c>
      <c r="J35" s="376" t="s">
        <v>745</v>
      </c>
      <c r="K35" s="376" t="s">
        <v>1222</v>
      </c>
      <c r="L35" s="377" t="s">
        <v>607</v>
      </c>
      <c r="R35" s="95" t="s">
        <v>740</v>
      </c>
      <c r="S35" s="139" t="s">
        <v>741</v>
      </c>
      <c r="T35" s="375" t="s">
        <v>742</v>
      </c>
      <c r="U35" s="376" t="s">
        <v>651</v>
      </c>
      <c r="V35" s="376" t="s">
        <v>743</v>
      </c>
      <c r="W35" s="376" t="s">
        <v>315</v>
      </c>
      <c r="X35" s="376" t="s">
        <v>748</v>
      </c>
      <c r="Y35" s="376" t="s">
        <v>321</v>
      </c>
      <c r="Z35" s="376" t="s">
        <v>744</v>
      </c>
      <c r="AA35" s="376" t="s">
        <v>745</v>
      </c>
      <c r="AB35" s="376" t="s">
        <v>1222</v>
      </c>
      <c r="AC35" s="377" t="s">
        <v>607</v>
      </c>
    </row>
    <row r="36" spans="1:31" ht="249" customHeight="1" x14ac:dyDescent="0.3">
      <c r="A36" s="95">
        <f>ROW(A1)</f>
        <v>1</v>
      </c>
      <c r="B36" s="662" t="s">
        <v>1269</v>
      </c>
      <c r="C36" s="663"/>
      <c r="D36" s="664"/>
      <c r="E36" s="664"/>
      <c r="F36" s="664"/>
      <c r="G36" s="664"/>
      <c r="H36" s="664"/>
      <c r="I36" s="664"/>
      <c r="J36" s="664"/>
      <c r="K36" s="664"/>
      <c r="L36" s="665"/>
      <c r="N36" s="660" t="s">
        <v>1288</v>
      </c>
      <c r="R36" s="95">
        <f>ROW(A1)</f>
        <v>1</v>
      </c>
      <c r="S36" s="662" t="s">
        <v>1269</v>
      </c>
      <c r="T36" s="663"/>
      <c r="U36" s="664"/>
      <c r="V36" s="664"/>
      <c r="W36" s="664"/>
      <c r="X36" s="664"/>
      <c r="Y36" s="664"/>
      <c r="Z36" s="664"/>
      <c r="AA36" s="664"/>
      <c r="AB36" s="664"/>
      <c r="AC36" s="665"/>
      <c r="AE36" s="660" t="s">
        <v>1288</v>
      </c>
    </row>
    <row r="37" spans="1:31" ht="46.5" customHeight="1" x14ac:dyDescent="0.3">
      <c r="A37" s="95">
        <f t="shared" ref="A37:A46" si="2">ROW(A2)</f>
        <v>2</v>
      </c>
      <c r="B37" s="712"/>
      <c r="C37" s="710"/>
      <c r="D37" s="711"/>
      <c r="E37" s="711"/>
      <c r="F37" s="711"/>
      <c r="G37" s="711"/>
      <c r="H37" s="711"/>
      <c r="I37" s="711"/>
      <c r="J37" s="711"/>
      <c r="K37" s="711"/>
      <c r="L37" s="117"/>
      <c r="R37" s="95">
        <f>ROW(A1)</f>
        <v>1</v>
      </c>
      <c r="S37" s="712" t="s">
        <v>1270</v>
      </c>
      <c r="T37" s="710">
        <v>7159</v>
      </c>
      <c r="U37" s="711"/>
      <c r="V37" s="711"/>
      <c r="W37" s="711">
        <v>6380</v>
      </c>
      <c r="X37" s="711">
        <v>256</v>
      </c>
      <c r="Y37" s="711"/>
      <c r="Z37" s="711">
        <v>40</v>
      </c>
      <c r="AA37" s="711"/>
      <c r="AB37" s="711">
        <v>483</v>
      </c>
      <c r="AC37" s="117">
        <f>SUM(T37:V37)-SUM(W37:AB37)</f>
        <v>0</v>
      </c>
    </row>
    <row r="38" spans="1:31" s="81" customFormat="1" ht="55.5" customHeight="1" outlineLevel="1" x14ac:dyDescent="0.3">
      <c r="A38" s="95">
        <f t="shared" si="2"/>
        <v>3</v>
      </c>
      <c r="B38" s="675"/>
      <c r="C38" s="115"/>
      <c r="D38" s="116"/>
      <c r="E38" s="116"/>
      <c r="F38" s="116"/>
      <c r="G38" s="116"/>
      <c r="H38" s="116"/>
      <c r="I38" s="116"/>
      <c r="J38" s="116"/>
      <c r="K38" s="116"/>
      <c r="L38" s="117"/>
      <c r="R38" s="90">
        <f>ROW(A1)</f>
        <v>1</v>
      </c>
      <c r="S38" s="675" t="s">
        <v>1249</v>
      </c>
      <c r="T38" s="115">
        <v>3871</v>
      </c>
      <c r="U38" s="116"/>
      <c r="V38" s="116"/>
      <c r="W38" s="116">
        <v>3480</v>
      </c>
      <c r="X38" s="116">
        <v>128</v>
      </c>
      <c r="Y38" s="116"/>
      <c r="Z38" s="116">
        <v>20</v>
      </c>
      <c r="AA38" s="116"/>
      <c r="AB38" s="116">
        <v>243</v>
      </c>
      <c r="AC38" s="117">
        <f>SUM(T38:V38)-SUM(W38:AB38)</f>
        <v>0</v>
      </c>
    </row>
    <row r="39" spans="1:31" s="81" customFormat="1" ht="46.5" customHeight="1" outlineLevel="1" x14ac:dyDescent="0.3">
      <c r="A39" s="95">
        <f t="shared" si="2"/>
        <v>4</v>
      </c>
      <c r="B39" s="675"/>
      <c r="C39" s="115"/>
      <c r="D39" s="116"/>
      <c r="E39" s="116"/>
      <c r="F39" s="116"/>
      <c r="G39" s="116"/>
      <c r="H39" s="116"/>
      <c r="I39" s="116"/>
      <c r="J39" s="116"/>
      <c r="K39" s="116"/>
      <c r="L39" s="117"/>
      <c r="R39" s="90">
        <f>ROW(A2)</f>
        <v>2</v>
      </c>
      <c r="S39" s="675" t="s">
        <v>1250</v>
      </c>
      <c r="T39" s="115">
        <v>4400.5</v>
      </c>
      <c r="U39" s="116"/>
      <c r="V39" s="116"/>
      <c r="W39" s="116">
        <v>3987.5</v>
      </c>
      <c r="X39" s="116">
        <v>160</v>
      </c>
      <c r="Y39" s="116"/>
      <c r="Z39" s="116">
        <v>25</v>
      </c>
      <c r="AA39" s="116"/>
      <c r="AB39" s="116">
        <v>228</v>
      </c>
      <c r="AC39" s="117">
        <f t="shared" ref="AC39:AC46" si="3">SUM(T39:V39)-SUM(W39:AB39)</f>
        <v>0</v>
      </c>
    </row>
    <row r="40" spans="1:31" s="81" customFormat="1" ht="43.5" customHeight="1" outlineLevel="1" x14ac:dyDescent="0.3">
      <c r="A40" s="95">
        <f t="shared" si="2"/>
        <v>5</v>
      </c>
      <c r="B40" s="675"/>
      <c r="C40" s="115"/>
      <c r="D40" s="116"/>
      <c r="E40" s="116"/>
      <c r="F40" s="116"/>
      <c r="G40" s="116"/>
      <c r="H40" s="116"/>
      <c r="I40" s="116"/>
      <c r="J40" s="116"/>
      <c r="K40" s="116"/>
      <c r="L40" s="117"/>
      <c r="R40" s="90">
        <f>ROW(A3)</f>
        <v>3</v>
      </c>
      <c r="S40" s="675" t="s">
        <v>1246</v>
      </c>
      <c r="T40" s="115">
        <v>3521</v>
      </c>
      <c r="U40" s="116"/>
      <c r="V40" s="116"/>
      <c r="W40" s="116">
        <v>3190</v>
      </c>
      <c r="X40" s="116">
        <v>128</v>
      </c>
      <c r="Y40" s="116"/>
      <c r="Z40" s="116">
        <v>20</v>
      </c>
      <c r="AA40" s="116"/>
      <c r="AB40" s="116">
        <v>183</v>
      </c>
      <c r="AC40" s="117">
        <f t="shared" si="3"/>
        <v>0</v>
      </c>
    </row>
    <row r="41" spans="1:31" s="81" customFormat="1" ht="43.5" customHeight="1" outlineLevel="1" x14ac:dyDescent="0.3">
      <c r="A41" s="95">
        <f t="shared" si="2"/>
        <v>6</v>
      </c>
      <c r="B41" s="675"/>
      <c r="C41" s="115"/>
      <c r="D41" s="116"/>
      <c r="E41" s="116"/>
      <c r="F41" s="116"/>
      <c r="G41" s="116"/>
      <c r="H41" s="116"/>
      <c r="I41" s="116"/>
      <c r="J41" s="116"/>
      <c r="K41" s="116"/>
      <c r="L41" s="117"/>
      <c r="R41" s="90">
        <f>ROW(A4)</f>
        <v>4</v>
      </c>
      <c r="S41" s="675" t="s">
        <v>1247</v>
      </c>
      <c r="T41" s="115">
        <v>3521</v>
      </c>
      <c r="U41" s="116"/>
      <c r="V41" s="116"/>
      <c r="W41" s="116">
        <v>3190</v>
      </c>
      <c r="X41" s="116">
        <v>128</v>
      </c>
      <c r="Y41" s="116"/>
      <c r="Z41" s="116">
        <v>20</v>
      </c>
      <c r="AA41" s="116"/>
      <c r="AB41" s="116">
        <v>183</v>
      </c>
      <c r="AC41" s="117">
        <f t="shared" si="3"/>
        <v>0</v>
      </c>
    </row>
    <row r="42" spans="1:31" s="81" customFormat="1" ht="39" customHeight="1" outlineLevel="1" x14ac:dyDescent="0.3">
      <c r="A42" s="95">
        <f t="shared" si="2"/>
        <v>7</v>
      </c>
      <c r="B42" s="675"/>
      <c r="C42" s="115"/>
      <c r="D42" s="116"/>
      <c r="E42" s="116"/>
      <c r="F42" s="116"/>
      <c r="G42" s="116"/>
      <c r="H42" s="116"/>
      <c r="I42" s="116"/>
      <c r="J42" s="116"/>
      <c r="K42" s="116"/>
      <c r="L42" s="117"/>
      <c r="R42" s="90">
        <f>ROW(A5)</f>
        <v>5</v>
      </c>
      <c r="S42" s="675" t="s">
        <v>1248</v>
      </c>
      <c r="T42" s="115">
        <v>4355.5</v>
      </c>
      <c r="U42" s="116"/>
      <c r="V42" s="116"/>
      <c r="W42" s="116">
        <v>3987.5</v>
      </c>
      <c r="X42" s="116">
        <v>160</v>
      </c>
      <c r="Y42" s="116"/>
      <c r="Z42" s="116">
        <v>25</v>
      </c>
      <c r="AA42" s="116"/>
      <c r="AB42" s="116">
        <v>183</v>
      </c>
      <c r="AC42" s="117">
        <f t="shared" si="3"/>
        <v>0</v>
      </c>
    </row>
    <row r="43" spans="1:31" s="81" customFormat="1" outlineLevel="1" x14ac:dyDescent="0.3">
      <c r="A43" s="95">
        <f t="shared" si="2"/>
        <v>8</v>
      </c>
      <c r="B43" s="675"/>
      <c r="C43" s="115"/>
      <c r="D43" s="116"/>
      <c r="E43" s="116"/>
      <c r="F43" s="116"/>
      <c r="G43" s="116"/>
      <c r="H43" s="116"/>
      <c r="I43" s="116"/>
      <c r="J43" s="116"/>
      <c r="K43" s="116"/>
      <c r="L43" s="117"/>
      <c r="R43" s="90">
        <f>ROW(A7)</f>
        <v>7</v>
      </c>
      <c r="S43" s="675"/>
      <c r="T43" s="115"/>
      <c r="U43" s="116"/>
      <c r="V43" s="116"/>
      <c r="W43" s="116"/>
      <c r="X43" s="116"/>
      <c r="Y43" s="116"/>
      <c r="Z43" s="116"/>
      <c r="AA43" s="116"/>
      <c r="AB43" s="116"/>
      <c r="AC43" s="117">
        <f t="shared" si="3"/>
        <v>0</v>
      </c>
    </row>
    <row r="44" spans="1:31" s="81" customFormat="1" outlineLevel="1" x14ac:dyDescent="0.3">
      <c r="A44" s="95">
        <f t="shared" si="2"/>
        <v>9</v>
      </c>
      <c r="B44" s="273"/>
      <c r="C44" s="115"/>
      <c r="D44" s="116"/>
      <c r="E44" s="116"/>
      <c r="F44" s="116"/>
      <c r="G44" s="116"/>
      <c r="H44" s="116"/>
      <c r="I44" s="116"/>
      <c r="J44" s="116"/>
      <c r="K44" s="116"/>
      <c r="L44" s="117"/>
      <c r="R44" s="90">
        <f>ROW(A24)</f>
        <v>24</v>
      </c>
      <c r="S44" s="273"/>
      <c r="T44" s="115"/>
      <c r="U44" s="116"/>
      <c r="V44" s="116"/>
      <c r="W44" s="116"/>
      <c r="X44" s="116"/>
      <c r="Y44" s="116"/>
      <c r="Z44" s="116"/>
      <c r="AA44" s="116"/>
      <c r="AB44" s="116"/>
      <c r="AC44" s="117">
        <f t="shared" si="3"/>
        <v>0</v>
      </c>
    </row>
    <row r="45" spans="1:31" s="81" customFormat="1" outlineLevel="1" x14ac:dyDescent="0.3">
      <c r="A45" s="95">
        <f t="shared" si="2"/>
        <v>10</v>
      </c>
      <c r="C45" s="115"/>
      <c r="D45" s="116"/>
      <c r="E45" s="116"/>
      <c r="F45" s="116"/>
      <c r="G45" s="116"/>
      <c r="H45" s="116"/>
      <c r="I45" s="116"/>
      <c r="J45" s="116"/>
      <c r="K45" s="116"/>
      <c r="L45" s="117"/>
      <c r="R45" s="90">
        <f>ROW(A25)</f>
        <v>25</v>
      </c>
      <c r="T45" s="115"/>
      <c r="U45" s="116"/>
      <c r="V45" s="116"/>
      <c r="W45" s="116"/>
      <c r="X45" s="116"/>
      <c r="Y45" s="116"/>
      <c r="Z45" s="116"/>
      <c r="AA45" s="116"/>
      <c r="AB45" s="116"/>
      <c r="AC45" s="117">
        <f t="shared" si="3"/>
        <v>0</v>
      </c>
    </row>
    <row r="46" spans="1:31" s="81" customFormat="1" outlineLevel="1" x14ac:dyDescent="0.3">
      <c r="A46" s="95">
        <f t="shared" si="2"/>
        <v>11</v>
      </c>
      <c r="B46" s="82"/>
      <c r="C46" s="118"/>
      <c r="D46" s="119"/>
      <c r="E46" s="119"/>
      <c r="F46" s="119"/>
      <c r="G46" s="119"/>
      <c r="H46" s="119"/>
      <c r="I46" s="119"/>
      <c r="J46" s="119"/>
      <c r="K46" s="119"/>
      <c r="L46" s="117"/>
      <c r="R46" s="90">
        <f>ROW(A26)</f>
        <v>26</v>
      </c>
      <c r="S46" s="82" t="s">
        <v>606</v>
      </c>
      <c r="T46" s="118">
        <v>2750</v>
      </c>
      <c r="U46" s="119">
        <v>0</v>
      </c>
      <c r="V46" s="119">
        <v>0</v>
      </c>
      <c r="W46" s="119">
        <v>1500</v>
      </c>
      <c r="X46" s="119">
        <v>250</v>
      </c>
      <c r="Y46" s="119">
        <v>500</v>
      </c>
      <c r="Z46" s="119">
        <v>100</v>
      </c>
      <c r="AA46" s="119">
        <v>200</v>
      </c>
      <c r="AB46" s="119">
        <v>200</v>
      </c>
      <c r="AC46" s="117">
        <f t="shared" si="3"/>
        <v>0</v>
      </c>
    </row>
    <row r="47" spans="1:31" s="81" customFormat="1" ht="15" outlineLevel="1" thickBot="1" x14ac:dyDescent="0.35">
      <c r="A47" s="90"/>
      <c r="C47" s="121"/>
      <c r="D47" s="116"/>
      <c r="E47" s="116"/>
      <c r="F47" s="122"/>
      <c r="G47" s="116"/>
      <c r="H47" s="116"/>
      <c r="I47" s="116"/>
      <c r="J47" s="116"/>
      <c r="K47" s="116"/>
      <c r="L47" s="123"/>
      <c r="R47" s="90"/>
      <c r="T47" s="121"/>
      <c r="U47" s="116"/>
      <c r="V47" s="116"/>
      <c r="W47" s="122"/>
      <c r="X47" s="116"/>
      <c r="Y47" s="116"/>
      <c r="Z47" s="116"/>
      <c r="AA47" s="116"/>
      <c r="AB47" s="116"/>
      <c r="AC47" s="123"/>
    </row>
    <row r="48" spans="1:31" s="98" customFormat="1" ht="20.25" customHeight="1" thickBot="1" x14ac:dyDescent="0.35">
      <c r="A48" s="96"/>
      <c r="B48" s="97" t="s">
        <v>697</v>
      </c>
      <c r="C48" s="272">
        <f>SUBTOTAL(9,Tabelle410232763[Teilnahmebeiträge Fachseminare])</f>
        <v>0</v>
      </c>
      <c r="D48" s="386">
        <f>SUBTOTAL(9,Tabelle410232763[Teilnahmebeiträge Veranstaltungen])</f>
        <v>0</v>
      </c>
      <c r="E48" s="386">
        <f>SUBTOTAL(9,Tabelle410232763[Sonstige Einnahmen])</f>
        <v>0</v>
      </c>
      <c r="F48" s="387">
        <f>SUBTOTAL(9,Tabelle410232763[Honorare Dozierende Fachseminare])</f>
        <v>0</v>
      </c>
      <c r="G48" s="387">
        <f>SUBTOTAL(9,Tabelle410232763[Aufwandsentschädigungen])</f>
        <v>0</v>
      </c>
      <c r="H48" s="387">
        <f>SUBTOTAL(9,Tabelle410232763[Externe Reisekosten])</f>
        <v>0</v>
      </c>
      <c r="I48" s="387">
        <f>SUBTOTAL(9,Tabelle410232763[Repräsentation/Bewirtung extern])</f>
        <v>0</v>
      </c>
      <c r="J48" s="387">
        <f>SUBTOTAL(9,Tabelle410232763[Raum + Unterkunft extern])</f>
        <v>0</v>
      </c>
      <c r="K48" s="387">
        <f>SUBTOTAL(9,Tabelle410232763[Verwaltungs- und Druckkosten])</f>
        <v>0</v>
      </c>
      <c r="L48" s="666">
        <f>SUBTOTAL(9,Tabelle410232763[Gesamt])</f>
        <v>0</v>
      </c>
      <c r="R48" s="96"/>
      <c r="S48" s="97" t="s">
        <v>697</v>
      </c>
      <c r="T48" s="272">
        <f>SUBTOTAL(9,Tabelle4102327[Teilnahmebeiträge Fachseminare])</f>
        <v>29578</v>
      </c>
      <c r="U48" s="386">
        <f>SUBTOTAL(9,Tabelle4102327[Teilnahmebeiträge Veranstaltungen])</f>
        <v>0</v>
      </c>
      <c r="V48" s="386">
        <f>SUBTOTAL(9,Tabelle4102327[Sonstige Einnahmen])</f>
        <v>0</v>
      </c>
      <c r="W48" s="387">
        <f>SUBTOTAL(9,Tabelle4102327[Honorare Dozierende Fachseminare])</f>
        <v>25715</v>
      </c>
      <c r="X48" s="387">
        <f>SUBTOTAL(9,Tabelle4102327[Aufwandsentschädigungen])</f>
        <v>1210</v>
      </c>
      <c r="Y48" s="387">
        <f>SUBTOTAL(9,Tabelle4102327[Externe Reisekosten])</f>
        <v>500</v>
      </c>
      <c r="Z48" s="387">
        <f>SUBTOTAL(9,Tabelle4102327[Repräsentation/Bewirtung extern])</f>
        <v>250</v>
      </c>
      <c r="AA48" s="387">
        <f>SUBTOTAL(9,Tabelle4102327[Raum + Unterkunft extern])</f>
        <v>200</v>
      </c>
      <c r="AB48" s="387">
        <f>SUBTOTAL(9,Tabelle4102327[Verwaltungs- und Druckkosten])</f>
        <v>1703</v>
      </c>
      <c r="AC48" s="666">
        <f>SUBTOTAL(9,Tabelle4102327[Gesamt])</f>
        <v>0</v>
      </c>
    </row>
    <row r="49" spans="1:32" ht="15" customHeight="1" x14ac:dyDescent="0.35">
      <c r="A49" s="11"/>
      <c r="R49" s="11"/>
    </row>
    <row r="50" spans="1:32" s="75" customFormat="1" ht="15.6" x14ac:dyDescent="0.3">
      <c r="A50" s="7"/>
      <c r="B50" s="7" t="s">
        <v>746</v>
      </c>
      <c r="D50" s="6" t="s">
        <v>739</v>
      </c>
      <c r="R50" s="7"/>
      <c r="S50" s="7" t="s">
        <v>746</v>
      </c>
      <c r="U50" s="6" t="s">
        <v>739</v>
      </c>
    </row>
    <row r="51" spans="1:32" ht="15.75" customHeight="1" thickBot="1" x14ac:dyDescent="0.4">
      <c r="A51" s="11"/>
      <c r="R51" s="11"/>
    </row>
    <row r="52" spans="1:32" ht="15" thickBot="1" x14ac:dyDescent="0.35">
      <c r="A52" s="100"/>
      <c r="B52" s="142" t="s">
        <v>656</v>
      </c>
      <c r="C52" s="91" t="s">
        <v>86</v>
      </c>
      <c r="D52" s="92" t="s">
        <v>93</v>
      </c>
      <c r="E52" s="93" t="s">
        <v>144</v>
      </c>
      <c r="F52" s="93" t="s">
        <v>248</v>
      </c>
      <c r="G52" s="93" t="s">
        <v>275</v>
      </c>
      <c r="H52" s="93" t="s">
        <v>298</v>
      </c>
      <c r="I52" s="93" t="s">
        <v>370</v>
      </c>
      <c r="J52" s="93" t="s">
        <v>382</v>
      </c>
      <c r="K52" s="93" t="s">
        <v>392</v>
      </c>
      <c r="L52" s="93" t="s">
        <v>404</v>
      </c>
      <c r="M52" s="93" t="s">
        <v>424</v>
      </c>
      <c r="N52" s="657" t="s">
        <v>352</v>
      </c>
      <c r="O52" s="94"/>
      <c r="R52" s="100"/>
      <c r="S52" s="142" t="s">
        <v>656</v>
      </c>
      <c r="T52" s="91" t="s">
        <v>86</v>
      </c>
      <c r="U52" s="92" t="s">
        <v>93</v>
      </c>
      <c r="V52" s="93" t="s">
        <v>144</v>
      </c>
      <c r="W52" s="93" t="s">
        <v>248</v>
      </c>
      <c r="X52" s="93" t="s">
        <v>275</v>
      </c>
      <c r="Y52" s="93" t="s">
        <v>298</v>
      </c>
      <c r="Z52" s="93" t="s">
        <v>370</v>
      </c>
      <c r="AA52" s="93" t="s">
        <v>382</v>
      </c>
      <c r="AB52" s="93" t="s">
        <v>392</v>
      </c>
      <c r="AC52" s="93" t="s">
        <v>404</v>
      </c>
      <c r="AD52" s="93" t="s">
        <v>424</v>
      </c>
      <c r="AE52" s="657" t="s">
        <v>352</v>
      </c>
      <c r="AF52" s="94"/>
    </row>
    <row r="53" spans="1:32" ht="55.8" thickBot="1" x14ac:dyDescent="0.35">
      <c r="A53" s="101" t="s">
        <v>740</v>
      </c>
      <c r="B53" s="99" t="s">
        <v>747</v>
      </c>
      <c r="C53" s="102" t="s">
        <v>651</v>
      </c>
      <c r="D53" s="99" t="s">
        <v>743</v>
      </c>
      <c r="E53" s="99" t="s">
        <v>748</v>
      </c>
      <c r="F53" s="99" t="s">
        <v>644</v>
      </c>
      <c r="G53" s="99" t="s">
        <v>749</v>
      </c>
      <c r="H53" s="99" t="s">
        <v>750</v>
      </c>
      <c r="I53" s="99" t="s">
        <v>744</v>
      </c>
      <c r="J53" s="99" t="s">
        <v>745</v>
      </c>
      <c r="K53" s="99" t="s">
        <v>329</v>
      </c>
      <c r="L53" s="99" t="s">
        <v>310</v>
      </c>
      <c r="M53" s="99" t="s">
        <v>675</v>
      </c>
      <c r="N53" s="99" t="s">
        <v>318</v>
      </c>
      <c r="O53" s="103" t="s">
        <v>607</v>
      </c>
      <c r="R53" s="101" t="s">
        <v>740</v>
      </c>
      <c r="S53" s="99" t="s">
        <v>747</v>
      </c>
      <c r="T53" s="102" t="s">
        <v>651</v>
      </c>
      <c r="U53" s="99" t="s">
        <v>743</v>
      </c>
      <c r="V53" s="99" t="s">
        <v>748</v>
      </c>
      <c r="W53" s="99" t="s">
        <v>644</v>
      </c>
      <c r="X53" s="99" t="s">
        <v>749</v>
      </c>
      <c r="Y53" s="99" t="s">
        <v>750</v>
      </c>
      <c r="Z53" s="99" t="s">
        <v>744</v>
      </c>
      <c r="AA53" s="99" t="s">
        <v>745</v>
      </c>
      <c r="AB53" s="99" t="s">
        <v>329</v>
      </c>
      <c r="AC53" s="99" t="s">
        <v>310</v>
      </c>
      <c r="AD53" s="99" t="s">
        <v>675</v>
      </c>
      <c r="AE53" s="99" t="s">
        <v>318</v>
      </c>
      <c r="AF53" s="103" t="s">
        <v>607</v>
      </c>
    </row>
    <row r="54" spans="1:32" s="81" customFormat="1" ht="27.6" outlineLevel="1" x14ac:dyDescent="0.3">
      <c r="A54" s="259">
        <f>ROW(A1)</f>
        <v>1</v>
      </c>
      <c r="B54" s="260" t="s">
        <v>1254</v>
      </c>
      <c r="C54" s="381"/>
      <c r="D54" s="382"/>
      <c r="E54" s="382"/>
      <c r="F54" s="382"/>
      <c r="G54" s="382"/>
      <c r="H54" s="382"/>
      <c r="I54" s="382"/>
      <c r="J54" s="382"/>
      <c r="K54" s="382"/>
      <c r="L54" s="382"/>
      <c r="M54" s="382"/>
      <c r="N54" s="382"/>
      <c r="O54" s="267"/>
      <c r="R54" s="259">
        <f t="shared" ref="R54:R65" si="4">ROW(A1)</f>
        <v>1</v>
      </c>
      <c r="S54" s="260" t="s">
        <v>1254</v>
      </c>
      <c r="T54" s="381"/>
      <c r="U54" s="382"/>
      <c r="V54" s="382"/>
      <c r="W54" s="382"/>
      <c r="X54" s="382"/>
      <c r="Y54" s="382"/>
      <c r="Z54" s="382"/>
      <c r="AA54" s="382"/>
      <c r="AB54" s="382"/>
      <c r="AC54" s="382">
        <v>2000</v>
      </c>
      <c r="AD54" s="382">
        <v>0</v>
      </c>
      <c r="AE54" s="382"/>
      <c r="AF54" s="267">
        <f>(T54+U54)-SUM(V54:AE54)</f>
        <v>-2000</v>
      </c>
    </row>
    <row r="55" spans="1:32" s="81" customFormat="1" outlineLevel="1" x14ac:dyDescent="0.3">
      <c r="A55" s="259">
        <f t="shared" ref="A55:A65" si="5">ROW(A2)</f>
        <v>2</v>
      </c>
      <c r="B55" s="260" t="s">
        <v>778</v>
      </c>
      <c r="C55" s="261"/>
      <c r="D55" s="262"/>
      <c r="E55" s="262"/>
      <c r="F55" s="262"/>
      <c r="G55" s="262"/>
      <c r="H55" s="262"/>
      <c r="I55" s="262"/>
      <c r="J55" s="262"/>
      <c r="K55" s="262"/>
      <c r="L55" s="262"/>
      <c r="M55" s="262"/>
      <c r="N55" s="262"/>
      <c r="O55" s="267"/>
      <c r="R55" s="259">
        <f t="shared" si="4"/>
        <v>2</v>
      </c>
      <c r="S55" s="260" t="s">
        <v>778</v>
      </c>
      <c r="T55" s="261"/>
      <c r="U55" s="262"/>
      <c r="V55" s="262"/>
      <c r="W55" s="262"/>
      <c r="X55" s="262"/>
      <c r="Y55" s="262"/>
      <c r="Z55" s="262"/>
      <c r="AA55" s="262"/>
      <c r="AB55" s="262"/>
      <c r="AC55" s="262"/>
      <c r="AD55" s="262">
        <v>500</v>
      </c>
      <c r="AE55" s="262"/>
      <c r="AF55" s="267">
        <f>(T55+U55)-SUM(V55:AE55)</f>
        <v>-500</v>
      </c>
    </row>
    <row r="56" spans="1:32" s="81" customFormat="1" ht="41.4" outlineLevel="1" x14ac:dyDescent="0.3">
      <c r="A56" s="259">
        <f t="shared" si="5"/>
        <v>3</v>
      </c>
      <c r="B56" s="260" t="s">
        <v>1251</v>
      </c>
      <c r="C56" s="261"/>
      <c r="D56" s="262"/>
      <c r="E56" s="262"/>
      <c r="F56" s="262"/>
      <c r="G56" s="262"/>
      <c r="H56" s="262"/>
      <c r="I56" s="262"/>
      <c r="J56" s="262"/>
      <c r="K56" s="262"/>
      <c r="L56" s="262"/>
      <c r="M56" s="262"/>
      <c r="N56" s="262"/>
      <c r="O56" s="267"/>
      <c r="R56" s="259">
        <f t="shared" si="4"/>
        <v>3</v>
      </c>
      <c r="S56" s="260" t="s">
        <v>1251</v>
      </c>
      <c r="T56" s="261"/>
      <c r="U56" s="262"/>
      <c r="V56" s="262"/>
      <c r="W56" s="262"/>
      <c r="X56" s="262"/>
      <c r="Y56" s="262"/>
      <c r="Z56" s="262"/>
      <c r="AA56" s="262"/>
      <c r="AB56" s="262"/>
      <c r="AC56" s="262"/>
      <c r="AD56" s="262"/>
      <c r="AE56" s="262">
        <v>2000</v>
      </c>
      <c r="AF56" s="267">
        <f>(T56+U56)-SUM(V56:AE56)</f>
        <v>-2000</v>
      </c>
    </row>
    <row r="57" spans="1:32" s="81" customFormat="1" ht="27.6" outlineLevel="1" x14ac:dyDescent="0.3">
      <c r="A57" s="259">
        <f t="shared" si="5"/>
        <v>4</v>
      </c>
      <c r="B57" s="260" t="s">
        <v>1321</v>
      </c>
      <c r="C57" s="261"/>
      <c r="D57" s="262"/>
      <c r="E57" s="262"/>
      <c r="F57" s="262"/>
      <c r="G57" s="262"/>
      <c r="H57" s="262"/>
      <c r="I57" s="262"/>
      <c r="J57" s="262"/>
      <c r="K57" s="262"/>
      <c r="L57" s="262">
        <v>500</v>
      </c>
      <c r="M57" s="262"/>
      <c r="N57" s="262"/>
      <c r="O57" s="267"/>
      <c r="R57" s="259">
        <f t="shared" si="4"/>
        <v>4</v>
      </c>
      <c r="S57" s="260" t="s">
        <v>1321</v>
      </c>
      <c r="T57" s="261"/>
      <c r="U57" s="262"/>
      <c r="V57" s="262"/>
      <c r="W57" s="262"/>
      <c r="X57" s="262"/>
      <c r="Y57" s="262"/>
      <c r="Z57" s="262"/>
      <c r="AA57" s="262"/>
      <c r="AB57" s="262"/>
      <c r="AC57" s="262">
        <v>500</v>
      </c>
      <c r="AD57" s="262"/>
      <c r="AE57" s="262"/>
      <c r="AF57" s="267">
        <f t="shared" ref="AF57:AF65" si="6">(T57+U57)-SUM(V57:AE57)</f>
        <v>-500</v>
      </c>
    </row>
    <row r="58" spans="1:32" s="81" customFormat="1" outlineLevel="1" x14ac:dyDescent="0.3">
      <c r="A58" s="259">
        <f t="shared" si="5"/>
        <v>5</v>
      </c>
      <c r="B58" s="260"/>
      <c r="C58" s="261"/>
      <c r="D58" s="262"/>
      <c r="E58" s="262"/>
      <c r="F58" s="262"/>
      <c r="G58" s="262"/>
      <c r="H58" s="262"/>
      <c r="I58" s="262"/>
      <c r="J58" s="262"/>
      <c r="K58" s="262"/>
      <c r="L58" s="262"/>
      <c r="M58" s="262"/>
      <c r="N58" s="262"/>
      <c r="O58" s="267"/>
      <c r="R58" s="259">
        <f t="shared" si="4"/>
        <v>5</v>
      </c>
      <c r="S58" s="260"/>
      <c r="T58" s="261"/>
      <c r="U58" s="262"/>
      <c r="V58" s="262"/>
      <c r="W58" s="262"/>
      <c r="X58" s="262"/>
      <c r="Y58" s="262"/>
      <c r="Z58" s="262"/>
      <c r="AA58" s="262"/>
      <c r="AB58" s="262"/>
      <c r="AC58" s="262"/>
      <c r="AD58" s="262"/>
      <c r="AE58" s="262"/>
      <c r="AF58" s="267">
        <f t="shared" si="6"/>
        <v>0</v>
      </c>
    </row>
    <row r="59" spans="1:32" s="81" customFormat="1" outlineLevel="1" x14ac:dyDescent="0.3">
      <c r="A59" s="259">
        <f t="shared" si="5"/>
        <v>6</v>
      </c>
      <c r="B59" s="260"/>
      <c r="C59" s="261"/>
      <c r="D59" s="262"/>
      <c r="E59" s="262"/>
      <c r="F59" s="262"/>
      <c r="G59" s="262"/>
      <c r="H59" s="262"/>
      <c r="I59" s="262"/>
      <c r="J59" s="262"/>
      <c r="K59" s="262"/>
      <c r="L59" s="262"/>
      <c r="M59" s="262"/>
      <c r="N59" s="262"/>
      <c r="O59" s="267"/>
      <c r="R59" s="259">
        <f t="shared" si="4"/>
        <v>6</v>
      </c>
      <c r="S59" s="260"/>
      <c r="T59" s="261"/>
      <c r="U59" s="262"/>
      <c r="V59" s="262"/>
      <c r="W59" s="262"/>
      <c r="X59" s="262"/>
      <c r="Y59" s="262"/>
      <c r="Z59" s="262"/>
      <c r="AA59" s="262"/>
      <c r="AB59" s="262"/>
      <c r="AC59" s="262"/>
      <c r="AD59" s="262"/>
      <c r="AE59" s="262"/>
      <c r="AF59" s="267">
        <f t="shared" si="6"/>
        <v>0</v>
      </c>
    </row>
    <row r="60" spans="1:32" s="81" customFormat="1" outlineLevel="1" x14ac:dyDescent="0.3">
      <c r="A60" s="259">
        <f t="shared" si="5"/>
        <v>7</v>
      </c>
      <c r="B60" s="260"/>
      <c r="C60" s="261"/>
      <c r="D60" s="262"/>
      <c r="E60" s="262"/>
      <c r="F60" s="262"/>
      <c r="G60" s="262"/>
      <c r="H60" s="262"/>
      <c r="I60" s="262"/>
      <c r="J60" s="262"/>
      <c r="K60" s="262"/>
      <c r="L60" s="262"/>
      <c r="M60" s="262"/>
      <c r="N60" s="262"/>
      <c r="O60" s="267"/>
      <c r="R60" s="259">
        <f t="shared" si="4"/>
        <v>7</v>
      </c>
      <c r="S60" s="260"/>
      <c r="T60" s="261"/>
      <c r="U60" s="262"/>
      <c r="V60" s="262"/>
      <c r="W60" s="262"/>
      <c r="X60" s="262"/>
      <c r="Y60" s="262"/>
      <c r="Z60" s="262"/>
      <c r="AA60" s="262"/>
      <c r="AB60" s="262"/>
      <c r="AC60" s="262"/>
      <c r="AD60" s="262"/>
      <c r="AE60" s="262"/>
      <c r="AF60" s="267">
        <f t="shared" si="6"/>
        <v>0</v>
      </c>
    </row>
    <row r="61" spans="1:32" s="81" customFormat="1" outlineLevel="1" x14ac:dyDescent="0.3">
      <c r="A61" s="259">
        <f t="shared" si="5"/>
        <v>8</v>
      </c>
      <c r="B61" s="260"/>
      <c r="C61" s="261"/>
      <c r="D61" s="262"/>
      <c r="E61" s="262"/>
      <c r="F61" s="262"/>
      <c r="G61" s="262"/>
      <c r="H61" s="262"/>
      <c r="I61" s="262"/>
      <c r="J61" s="262"/>
      <c r="K61" s="262"/>
      <c r="L61" s="262"/>
      <c r="M61" s="262"/>
      <c r="N61" s="262"/>
      <c r="O61" s="267"/>
      <c r="R61" s="259">
        <f t="shared" si="4"/>
        <v>8</v>
      </c>
      <c r="S61" s="260"/>
      <c r="T61" s="261"/>
      <c r="U61" s="262"/>
      <c r="V61" s="262"/>
      <c r="W61" s="262"/>
      <c r="X61" s="262"/>
      <c r="Y61" s="262"/>
      <c r="Z61" s="262"/>
      <c r="AA61" s="262"/>
      <c r="AB61" s="262"/>
      <c r="AC61" s="262"/>
      <c r="AD61" s="262"/>
      <c r="AE61" s="262"/>
      <c r="AF61" s="267">
        <f t="shared" si="6"/>
        <v>0</v>
      </c>
    </row>
    <row r="62" spans="1:32" s="81" customFormat="1" outlineLevel="1" x14ac:dyDescent="0.3">
      <c r="A62" s="259">
        <f t="shared" si="5"/>
        <v>9</v>
      </c>
      <c r="B62" s="260"/>
      <c r="C62" s="261"/>
      <c r="D62" s="262"/>
      <c r="E62" s="262"/>
      <c r="F62" s="262"/>
      <c r="G62" s="262"/>
      <c r="H62" s="262"/>
      <c r="I62" s="262"/>
      <c r="J62" s="262"/>
      <c r="K62" s="262"/>
      <c r="L62" s="262"/>
      <c r="M62" s="262"/>
      <c r="N62" s="262"/>
      <c r="O62" s="267"/>
      <c r="R62" s="259">
        <f t="shared" si="4"/>
        <v>9</v>
      </c>
      <c r="S62" s="260"/>
      <c r="T62" s="261"/>
      <c r="U62" s="262"/>
      <c r="V62" s="262"/>
      <c r="W62" s="262"/>
      <c r="X62" s="262"/>
      <c r="Y62" s="262"/>
      <c r="Z62" s="262"/>
      <c r="AA62" s="262"/>
      <c r="AB62" s="262"/>
      <c r="AC62" s="262"/>
      <c r="AD62" s="262"/>
      <c r="AE62" s="262"/>
      <c r="AF62" s="267">
        <f t="shared" si="6"/>
        <v>0</v>
      </c>
    </row>
    <row r="63" spans="1:32" s="81" customFormat="1" outlineLevel="1" x14ac:dyDescent="0.3">
      <c r="A63" s="259">
        <f t="shared" si="5"/>
        <v>10</v>
      </c>
      <c r="B63" s="260"/>
      <c r="C63" s="261"/>
      <c r="D63" s="262"/>
      <c r="E63" s="262"/>
      <c r="F63" s="262"/>
      <c r="G63" s="262"/>
      <c r="H63" s="262"/>
      <c r="I63" s="262"/>
      <c r="J63" s="262"/>
      <c r="K63" s="262"/>
      <c r="L63" s="262"/>
      <c r="M63" s="262"/>
      <c r="N63" s="262"/>
      <c r="O63" s="267"/>
      <c r="R63" s="259">
        <f t="shared" si="4"/>
        <v>10</v>
      </c>
      <c r="S63" s="260"/>
      <c r="T63" s="261"/>
      <c r="U63" s="262"/>
      <c r="V63" s="262"/>
      <c r="W63" s="262"/>
      <c r="X63" s="262"/>
      <c r="Y63" s="262"/>
      <c r="Z63" s="262"/>
      <c r="AA63" s="262"/>
      <c r="AB63" s="262"/>
      <c r="AC63" s="262"/>
      <c r="AD63" s="262"/>
      <c r="AE63" s="262"/>
      <c r="AF63" s="267">
        <f t="shared" si="6"/>
        <v>0</v>
      </c>
    </row>
    <row r="64" spans="1:32" s="81" customFormat="1" outlineLevel="1" x14ac:dyDescent="0.3">
      <c r="A64" s="259">
        <f t="shared" si="5"/>
        <v>11</v>
      </c>
      <c r="B64" s="260"/>
      <c r="C64" s="261"/>
      <c r="D64" s="262"/>
      <c r="E64" s="262"/>
      <c r="F64" s="262"/>
      <c r="G64" s="262"/>
      <c r="H64" s="262"/>
      <c r="I64" s="262"/>
      <c r="J64" s="262"/>
      <c r="K64" s="262"/>
      <c r="L64" s="262"/>
      <c r="M64" s="262"/>
      <c r="N64" s="262"/>
      <c r="O64" s="267"/>
      <c r="R64" s="259">
        <f t="shared" si="4"/>
        <v>11</v>
      </c>
      <c r="S64" s="260"/>
      <c r="T64" s="261"/>
      <c r="U64" s="262"/>
      <c r="V64" s="262"/>
      <c r="W64" s="262"/>
      <c r="X64" s="262"/>
      <c r="Y64" s="262"/>
      <c r="Z64" s="262"/>
      <c r="AA64" s="262"/>
      <c r="AB64" s="262"/>
      <c r="AC64" s="262"/>
      <c r="AD64" s="262"/>
      <c r="AE64" s="262"/>
      <c r="AF64" s="267">
        <f t="shared" si="6"/>
        <v>0</v>
      </c>
    </row>
    <row r="65" spans="1:32" s="81" customFormat="1" ht="15" outlineLevel="1" thickBot="1" x14ac:dyDescent="0.35">
      <c r="A65" s="259">
        <f t="shared" si="5"/>
        <v>12</v>
      </c>
      <c r="B65" s="264" t="s">
        <v>606</v>
      </c>
      <c r="C65" s="270"/>
      <c r="D65" s="271"/>
      <c r="E65" s="271"/>
      <c r="F65" s="271"/>
      <c r="G65" s="271"/>
      <c r="H65" s="271"/>
      <c r="I65" s="271"/>
      <c r="J65" s="271"/>
      <c r="K65" s="271"/>
      <c r="L65" s="271"/>
      <c r="M65" s="271"/>
      <c r="N65" s="266"/>
      <c r="O65" s="267">
        <f>(C65+D65)-SUM(E65:N65)</f>
        <v>0</v>
      </c>
      <c r="R65" s="259">
        <f t="shared" si="4"/>
        <v>12</v>
      </c>
      <c r="S65" s="264" t="s">
        <v>606</v>
      </c>
      <c r="T65" s="270">
        <v>0</v>
      </c>
      <c r="U65" s="271">
        <v>0</v>
      </c>
      <c r="V65" s="271">
        <v>500</v>
      </c>
      <c r="W65" s="271">
        <v>1000</v>
      </c>
      <c r="X65" s="271">
        <v>200</v>
      </c>
      <c r="Y65" s="271">
        <v>200</v>
      </c>
      <c r="Z65" s="271">
        <v>200</v>
      </c>
      <c r="AA65" s="271">
        <v>200</v>
      </c>
      <c r="AB65" s="271">
        <v>0</v>
      </c>
      <c r="AC65" s="271">
        <v>1000</v>
      </c>
      <c r="AD65" s="271">
        <v>500</v>
      </c>
      <c r="AE65" s="266">
        <v>500</v>
      </c>
      <c r="AF65" s="267">
        <f t="shared" si="6"/>
        <v>-4300</v>
      </c>
    </row>
    <row r="66" spans="1:32" ht="23.25" customHeight="1" thickBot="1" x14ac:dyDescent="0.35">
      <c r="A66" s="106"/>
      <c r="B66" s="107" t="s">
        <v>697</v>
      </c>
      <c r="C66" s="272">
        <f>SUBTOTAL(9,Tabelle513242864[Teilnahmebeiträge Veranstaltungen])</f>
        <v>0</v>
      </c>
      <c r="D66" s="386">
        <f>SUBTOTAL(9,Tabelle513242864[Sonstige Einnahmen])</f>
        <v>0</v>
      </c>
      <c r="E66" s="387">
        <f>SUBTOTAL(9,Tabelle513242864[Aufwandsentschädigungen])</f>
        <v>0</v>
      </c>
      <c r="F66" s="387">
        <f>SUBTOTAL(9,Tabelle513242864[Interne Reisekosten])</f>
        <v>0</v>
      </c>
      <c r="G66" s="387">
        <f>SUBTOTAL(9,Tabelle513242864[Raum + Unterkunft intern])</f>
        <v>0</v>
      </c>
      <c r="H66" s="387">
        <f>SUBTOTAL(9,Tabelle513242864[Repräsentation/Bewirtung intern])</f>
        <v>0</v>
      </c>
      <c r="I66" s="387">
        <f>SUBTOTAL(9,Tabelle513242864[Repräsentation/Bewirtung extern])</f>
        <v>0</v>
      </c>
      <c r="J66" s="387">
        <f>SUBTOTAL(9,Tabelle513242864[Raum + Unterkunft extern])</f>
        <v>0</v>
      </c>
      <c r="K66" s="387">
        <f>SUBTOTAL(9,Tabelle513242864[Druckkosten])</f>
        <v>0</v>
      </c>
      <c r="L66" s="387">
        <f>SUBTOTAL(9,Tabelle513242864[Sonstige Kosten])</f>
        <v>500</v>
      </c>
      <c r="M66" s="387">
        <f>SUBTOTAL(9,Tabelle513242864[Rechtsangelegenheiten])</f>
        <v>0</v>
      </c>
      <c r="N66" s="387">
        <f>SUBTOTAL(109,Tabelle513242864[Andere Honorare])</f>
        <v>0</v>
      </c>
      <c r="O66" s="673">
        <f>SUBTOTAL(9,Tabelle513242864[Gesamt])</f>
        <v>0</v>
      </c>
      <c r="R66" s="106"/>
      <c r="S66" s="107" t="s">
        <v>697</v>
      </c>
      <c r="T66" s="272">
        <f>SUBTOTAL(9,Tabelle5132428[Teilnahmebeiträge Veranstaltungen])</f>
        <v>0</v>
      </c>
      <c r="U66" s="386">
        <f>SUBTOTAL(9,Tabelle5132428[Sonstige Einnahmen])</f>
        <v>0</v>
      </c>
      <c r="V66" s="387">
        <f>SUBTOTAL(9,Tabelle5132428[Aufwandsentschädigungen])</f>
        <v>500</v>
      </c>
      <c r="W66" s="387">
        <f>SUBTOTAL(9,Tabelle5132428[Interne Reisekosten])</f>
        <v>1000</v>
      </c>
      <c r="X66" s="387">
        <f>SUBTOTAL(9,Tabelle5132428[Raum + Unterkunft intern])</f>
        <v>200</v>
      </c>
      <c r="Y66" s="387">
        <f>SUBTOTAL(9,Tabelle5132428[Repräsentation/Bewirtung intern])</f>
        <v>200</v>
      </c>
      <c r="Z66" s="387">
        <f>SUBTOTAL(9,Tabelle5132428[Repräsentation/Bewirtung extern])</f>
        <v>200</v>
      </c>
      <c r="AA66" s="387">
        <f>SUBTOTAL(9,Tabelle5132428[Raum + Unterkunft extern])</f>
        <v>200</v>
      </c>
      <c r="AB66" s="387">
        <f>SUBTOTAL(9,Tabelle5132428[Druckkosten])</f>
        <v>0</v>
      </c>
      <c r="AC66" s="387">
        <f>SUBTOTAL(9,Tabelle5132428[Sonstige Kosten])</f>
        <v>3500</v>
      </c>
      <c r="AD66" s="387">
        <f>SUBTOTAL(9,Tabelle5132428[Rechtsangelegenheiten])</f>
        <v>1000</v>
      </c>
      <c r="AE66" s="387">
        <f>SUBTOTAL(109,Tabelle5132428[Andere Honorare])</f>
        <v>2500</v>
      </c>
      <c r="AF66" s="673">
        <f>SUBTOTAL(9,Tabelle5132428[Gesamt])</f>
        <v>-9300</v>
      </c>
    </row>
    <row r="67" spans="1:32" ht="18" x14ac:dyDescent="0.35">
      <c r="A67" s="11"/>
      <c r="R67" s="11"/>
    </row>
    <row r="68" spans="1:32" ht="15.6" x14ac:dyDescent="0.3">
      <c r="A68" s="7"/>
      <c r="B68" s="7" t="s">
        <v>755</v>
      </c>
      <c r="D68" s="6" t="s">
        <v>739</v>
      </c>
      <c r="R68" s="7"/>
      <c r="S68" s="7" t="s">
        <v>755</v>
      </c>
      <c r="U68" s="6" t="s">
        <v>739</v>
      </c>
    </row>
    <row r="69" spans="1:32" ht="18.600000000000001" thickBot="1" x14ac:dyDescent="0.4">
      <c r="A69" s="11"/>
      <c r="R69" s="11"/>
    </row>
    <row r="70" spans="1:32" ht="15.6" thickTop="1" thickBot="1" x14ac:dyDescent="0.35">
      <c r="A70" s="108"/>
      <c r="B70" s="140"/>
      <c r="C70" s="141"/>
      <c r="D70" s="144" t="s">
        <v>656</v>
      </c>
      <c r="E70" s="109" t="s">
        <v>136</v>
      </c>
      <c r="F70" s="110" t="s">
        <v>242</v>
      </c>
      <c r="G70" s="110" t="s">
        <v>266</v>
      </c>
      <c r="H70" s="110" t="s">
        <v>292</v>
      </c>
      <c r="I70" s="111"/>
      <c r="R70" s="108"/>
      <c r="S70" s="140"/>
      <c r="T70" s="141"/>
      <c r="U70" s="144" t="s">
        <v>656</v>
      </c>
      <c r="V70" s="109" t="s">
        <v>136</v>
      </c>
      <c r="W70" s="110" t="s">
        <v>242</v>
      </c>
      <c r="X70" s="110" t="s">
        <v>266</v>
      </c>
      <c r="Y70" s="110" t="s">
        <v>292</v>
      </c>
      <c r="Z70" s="111"/>
    </row>
    <row r="71" spans="1:32" ht="42" thickBot="1" x14ac:dyDescent="0.35">
      <c r="A71" s="112" t="s">
        <v>756</v>
      </c>
      <c r="B71" s="112" t="s">
        <v>757</v>
      </c>
      <c r="C71" s="143" t="s">
        <v>758</v>
      </c>
      <c r="D71" s="112" t="s">
        <v>533</v>
      </c>
      <c r="E71" s="375" t="s">
        <v>748</v>
      </c>
      <c r="F71" s="376" t="s">
        <v>644</v>
      </c>
      <c r="G71" s="376" t="s">
        <v>749</v>
      </c>
      <c r="H71" s="376" t="s">
        <v>750</v>
      </c>
      <c r="I71" s="377" t="s">
        <v>607</v>
      </c>
      <c r="R71" s="112" t="s">
        <v>756</v>
      </c>
      <c r="S71" s="112" t="s">
        <v>757</v>
      </c>
      <c r="T71" s="143" t="s">
        <v>758</v>
      </c>
      <c r="U71" s="112" t="s">
        <v>533</v>
      </c>
      <c r="V71" s="375" t="s">
        <v>748</v>
      </c>
      <c r="W71" s="376" t="s">
        <v>644</v>
      </c>
      <c r="X71" s="376" t="s">
        <v>749</v>
      </c>
      <c r="Y71" s="376" t="s">
        <v>750</v>
      </c>
      <c r="Z71" s="377" t="s">
        <v>607</v>
      </c>
    </row>
    <row r="72" spans="1:32" s="81" customFormat="1" outlineLevel="1" x14ac:dyDescent="0.3">
      <c r="A72" s="263">
        <f>ROW(A1)</f>
        <v>1</v>
      </c>
      <c r="B72" s="263"/>
      <c r="C72" s="263"/>
      <c r="D72" s="263"/>
      <c r="E72" s="381"/>
      <c r="F72" s="382"/>
      <c r="G72" s="382"/>
      <c r="H72" s="382"/>
      <c r="I72" s="283"/>
      <c r="R72" s="263">
        <f t="shared" ref="R72:R88" si="7">ROW(A1)</f>
        <v>1</v>
      </c>
      <c r="S72" s="263" t="s">
        <v>769</v>
      </c>
      <c r="T72" s="263"/>
      <c r="U72" s="263" t="s">
        <v>764</v>
      </c>
      <c r="V72" s="381">
        <v>700</v>
      </c>
      <c r="W72" s="382">
        <v>1000</v>
      </c>
      <c r="X72" s="382">
        <v>250</v>
      </c>
      <c r="Y72" s="382">
        <v>10</v>
      </c>
      <c r="Z72" s="283">
        <f t="shared" ref="Z72:Z77" si="8">SUM(V72:Y72)</f>
        <v>1960</v>
      </c>
    </row>
    <row r="73" spans="1:32" s="81" customFormat="1" outlineLevel="1" x14ac:dyDescent="0.3">
      <c r="A73" s="263">
        <f t="shared" ref="A73:A88" si="9">ROW(A2)</f>
        <v>2</v>
      </c>
      <c r="B73" s="263"/>
      <c r="C73" s="263"/>
      <c r="D73" s="263"/>
      <c r="E73" s="261"/>
      <c r="F73" s="262"/>
      <c r="G73" s="262"/>
      <c r="H73" s="262"/>
      <c r="I73" s="267"/>
      <c r="R73" s="263">
        <f t="shared" si="7"/>
        <v>2</v>
      </c>
      <c r="S73" s="263" t="s">
        <v>769</v>
      </c>
      <c r="T73" s="263"/>
      <c r="U73" s="263" t="s">
        <v>770</v>
      </c>
      <c r="V73" s="261">
        <v>300</v>
      </c>
      <c r="W73" s="262">
        <v>0</v>
      </c>
      <c r="X73" s="262">
        <v>0</v>
      </c>
      <c r="Y73" s="262">
        <v>0</v>
      </c>
      <c r="Z73" s="267">
        <f t="shared" si="8"/>
        <v>300</v>
      </c>
    </row>
    <row r="74" spans="1:32" s="81" customFormat="1" outlineLevel="1" x14ac:dyDescent="0.3">
      <c r="A74" s="263">
        <f t="shared" si="9"/>
        <v>3</v>
      </c>
      <c r="B74" s="263"/>
      <c r="C74" s="263"/>
      <c r="D74" s="263"/>
      <c r="E74" s="261"/>
      <c r="F74" s="262"/>
      <c r="G74" s="262"/>
      <c r="H74" s="262"/>
      <c r="I74" s="267"/>
      <c r="R74" s="263">
        <f t="shared" si="7"/>
        <v>3</v>
      </c>
      <c r="S74" s="263" t="s">
        <v>769</v>
      </c>
      <c r="T74" s="263"/>
      <c r="U74" s="263" t="s">
        <v>764</v>
      </c>
      <c r="V74" s="261">
        <v>700</v>
      </c>
      <c r="W74" s="262">
        <v>1000</v>
      </c>
      <c r="X74" s="262">
        <v>250</v>
      </c>
      <c r="Y74" s="262">
        <v>10</v>
      </c>
      <c r="Z74" s="267">
        <f t="shared" si="8"/>
        <v>1960</v>
      </c>
    </row>
    <row r="75" spans="1:32" s="81" customFormat="1" outlineLevel="1" x14ac:dyDescent="0.3">
      <c r="A75" s="263">
        <f t="shared" si="9"/>
        <v>4</v>
      </c>
      <c r="B75" s="263"/>
      <c r="C75" s="263"/>
      <c r="D75" s="263"/>
      <c r="E75" s="261"/>
      <c r="F75" s="262"/>
      <c r="G75" s="262"/>
      <c r="H75" s="262"/>
      <c r="I75" s="267"/>
      <c r="R75" s="263">
        <f t="shared" si="7"/>
        <v>4</v>
      </c>
      <c r="S75" s="263" t="s">
        <v>769</v>
      </c>
      <c r="T75" s="263"/>
      <c r="U75" s="263" t="s">
        <v>770</v>
      </c>
      <c r="V75" s="261">
        <v>300</v>
      </c>
      <c r="W75" s="262">
        <v>0</v>
      </c>
      <c r="X75" s="262">
        <v>0</v>
      </c>
      <c r="Y75" s="262">
        <v>0</v>
      </c>
      <c r="Z75" s="267">
        <f t="shared" si="8"/>
        <v>300</v>
      </c>
    </row>
    <row r="76" spans="1:32" s="81" customFormat="1" outlineLevel="1" x14ac:dyDescent="0.3">
      <c r="A76" s="263">
        <f t="shared" si="9"/>
        <v>5</v>
      </c>
      <c r="B76" s="263"/>
      <c r="C76" s="263"/>
      <c r="D76" s="263"/>
      <c r="E76" s="261"/>
      <c r="F76" s="262"/>
      <c r="G76" s="262"/>
      <c r="H76" s="262"/>
      <c r="I76" s="267"/>
      <c r="R76" s="263">
        <f t="shared" si="7"/>
        <v>5</v>
      </c>
      <c r="S76" s="263" t="s">
        <v>769</v>
      </c>
      <c r="T76" s="263"/>
      <c r="U76" s="263" t="s">
        <v>770</v>
      </c>
      <c r="V76" s="261">
        <v>300</v>
      </c>
      <c r="W76" s="262">
        <v>0</v>
      </c>
      <c r="X76" s="262">
        <v>0</v>
      </c>
      <c r="Y76" s="262">
        <v>0</v>
      </c>
      <c r="Z76" s="267">
        <f t="shared" si="8"/>
        <v>300</v>
      </c>
    </row>
    <row r="77" spans="1:32" s="81" customFormat="1" outlineLevel="1" x14ac:dyDescent="0.3">
      <c r="A77" s="263">
        <f t="shared" si="9"/>
        <v>6</v>
      </c>
      <c r="B77" s="263"/>
      <c r="C77" s="263"/>
      <c r="D77" s="263"/>
      <c r="E77" s="261"/>
      <c r="F77" s="262"/>
      <c r="G77" s="262"/>
      <c r="H77" s="262"/>
      <c r="I77" s="267"/>
      <c r="R77" s="263">
        <f t="shared" si="7"/>
        <v>6</v>
      </c>
      <c r="S77" s="263" t="s">
        <v>769</v>
      </c>
      <c r="T77" s="263"/>
      <c r="U77" s="263" t="s">
        <v>770</v>
      </c>
      <c r="V77" s="261">
        <v>300</v>
      </c>
      <c r="W77" s="262">
        <v>0</v>
      </c>
      <c r="X77" s="262">
        <v>0</v>
      </c>
      <c r="Y77" s="262">
        <v>0</v>
      </c>
      <c r="Z77" s="267">
        <f t="shared" si="8"/>
        <v>300</v>
      </c>
    </row>
    <row r="78" spans="1:32" s="81" customFormat="1" outlineLevel="1" x14ac:dyDescent="0.3">
      <c r="A78" s="263">
        <f t="shared" si="9"/>
        <v>7</v>
      </c>
      <c r="B78" s="263"/>
      <c r="C78" s="263"/>
      <c r="D78" s="263"/>
      <c r="E78" s="261"/>
      <c r="F78" s="262"/>
      <c r="G78" s="262"/>
      <c r="H78" s="262"/>
      <c r="I78" s="267"/>
      <c r="R78" s="263">
        <f t="shared" si="7"/>
        <v>7</v>
      </c>
      <c r="S78" s="263"/>
      <c r="T78" s="263"/>
      <c r="U78" s="263"/>
      <c r="V78" s="261"/>
      <c r="W78" s="262"/>
      <c r="X78" s="262"/>
      <c r="Y78" s="262"/>
      <c r="Z78" s="267"/>
    </row>
    <row r="79" spans="1:32" s="81" customFormat="1" outlineLevel="1" x14ac:dyDescent="0.3">
      <c r="A79" s="263">
        <f t="shared" si="9"/>
        <v>8</v>
      </c>
      <c r="B79" s="263"/>
      <c r="C79" s="263"/>
      <c r="D79" s="263"/>
      <c r="E79" s="261"/>
      <c r="F79" s="262"/>
      <c r="G79" s="262"/>
      <c r="H79" s="262"/>
      <c r="I79" s="267"/>
      <c r="R79" s="263">
        <f t="shared" si="7"/>
        <v>8</v>
      </c>
      <c r="S79" s="263"/>
      <c r="T79" s="263"/>
      <c r="U79" s="263"/>
      <c r="V79" s="261"/>
      <c r="W79" s="262"/>
      <c r="X79" s="262"/>
      <c r="Y79" s="262"/>
      <c r="Z79" s="267"/>
    </row>
    <row r="80" spans="1:32" s="81" customFormat="1" outlineLevel="1" x14ac:dyDescent="0.3">
      <c r="A80" s="263">
        <f t="shared" si="9"/>
        <v>9</v>
      </c>
      <c r="B80" s="263"/>
      <c r="C80" s="263"/>
      <c r="D80" s="263"/>
      <c r="E80" s="261"/>
      <c r="F80" s="262"/>
      <c r="G80" s="262"/>
      <c r="H80" s="262"/>
      <c r="I80" s="267"/>
      <c r="R80" s="263">
        <f t="shared" si="7"/>
        <v>9</v>
      </c>
      <c r="S80" s="263"/>
      <c r="T80" s="263"/>
      <c r="U80" s="263"/>
      <c r="V80" s="261"/>
      <c r="W80" s="262"/>
      <c r="X80" s="262"/>
      <c r="Y80" s="262"/>
      <c r="Z80" s="267"/>
    </row>
    <row r="81" spans="1:26" s="81" customFormat="1" outlineLevel="1" x14ac:dyDescent="0.3">
      <c r="A81" s="263">
        <f t="shared" si="9"/>
        <v>10</v>
      </c>
      <c r="B81" s="263"/>
      <c r="C81" s="263"/>
      <c r="D81" s="263"/>
      <c r="E81" s="261"/>
      <c r="F81" s="262"/>
      <c r="G81" s="262"/>
      <c r="H81" s="262"/>
      <c r="I81" s="267"/>
      <c r="R81" s="263">
        <f t="shared" si="7"/>
        <v>10</v>
      </c>
      <c r="S81" s="263"/>
      <c r="T81" s="263"/>
      <c r="U81" s="263"/>
      <c r="V81" s="261"/>
      <c r="W81" s="262"/>
      <c r="X81" s="262"/>
      <c r="Y81" s="262"/>
      <c r="Z81" s="267"/>
    </row>
    <row r="82" spans="1:26" s="81" customFormat="1" outlineLevel="1" x14ac:dyDescent="0.3">
      <c r="A82" s="263">
        <f t="shared" si="9"/>
        <v>11</v>
      </c>
      <c r="B82" s="263"/>
      <c r="C82" s="263"/>
      <c r="D82" s="263"/>
      <c r="E82" s="261"/>
      <c r="F82" s="262"/>
      <c r="G82" s="262"/>
      <c r="H82" s="262"/>
      <c r="I82" s="267"/>
      <c r="R82" s="263">
        <f t="shared" si="7"/>
        <v>11</v>
      </c>
      <c r="S82" s="263"/>
      <c r="T82" s="263"/>
      <c r="U82" s="263"/>
      <c r="V82" s="261"/>
      <c r="W82" s="262"/>
      <c r="X82" s="262"/>
      <c r="Y82" s="262"/>
      <c r="Z82" s="267"/>
    </row>
    <row r="83" spans="1:26" s="81" customFormat="1" outlineLevel="1" x14ac:dyDescent="0.3">
      <c r="A83" s="263">
        <f t="shared" si="9"/>
        <v>12</v>
      </c>
      <c r="B83" s="263"/>
      <c r="C83" s="263"/>
      <c r="D83" s="263"/>
      <c r="E83" s="261"/>
      <c r="F83" s="262"/>
      <c r="G83" s="262"/>
      <c r="H83" s="262"/>
      <c r="I83" s="267"/>
      <c r="R83" s="263">
        <f t="shared" si="7"/>
        <v>12</v>
      </c>
      <c r="S83" s="263"/>
      <c r="T83" s="263"/>
      <c r="U83" s="263"/>
      <c r="V83" s="261"/>
      <c r="W83" s="262"/>
      <c r="X83" s="262"/>
      <c r="Y83" s="262"/>
      <c r="Z83" s="267"/>
    </row>
    <row r="84" spans="1:26" s="81" customFormat="1" outlineLevel="1" x14ac:dyDescent="0.3">
      <c r="A84" s="263">
        <f t="shared" si="9"/>
        <v>13</v>
      </c>
      <c r="B84" s="263"/>
      <c r="C84" s="263"/>
      <c r="D84" s="263"/>
      <c r="E84" s="261"/>
      <c r="F84" s="262"/>
      <c r="G84" s="262"/>
      <c r="H84" s="262"/>
      <c r="I84" s="267"/>
      <c r="R84" s="263">
        <f t="shared" si="7"/>
        <v>13</v>
      </c>
      <c r="S84" s="263"/>
      <c r="T84" s="263"/>
      <c r="U84" s="263"/>
      <c r="V84" s="261"/>
      <c r="W84" s="262"/>
      <c r="X84" s="262"/>
      <c r="Y84" s="262"/>
      <c r="Z84" s="267"/>
    </row>
    <row r="85" spans="1:26" s="81" customFormat="1" outlineLevel="1" x14ac:dyDescent="0.3">
      <c r="A85" s="263">
        <f t="shared" si="9"/>
        <v>14</v>
      </c>
      <c r="B85" s="263"/>
      <c r="C85" s="263"/>
      <c r="D85" s="263"/>
      <c r="E85" s="261"/>
      <c r="F85" s="262"/>
      <c r="G85" s="262"/>
      <c r="H85" s="262"/>
      <c r="I85" s="267"/>
      <c r="R85" s="263">
        <f t="shared" si="7"/>
        <v>14</v>
      </c>
      <c r="S85" s="263" t="s">
        <v>779</v>
      </c>
      <c r="T85" s="263"/>
      <c r="U85" s="263" t="s">
        <v>764</v>
      </c>
      <c r="V85" s="261">
        <v>300</v>
      </c>
      <c r="W85" s="262">
        <v>1000</v>
      </c>
      <c r="X85" s="262">
        <v>500</v>
      </c>
      <c r="Y85" s="262">
        <v>100</v>
      </c>
      <c r="Z85" s="267">
        <f>SUM(V85:Y85)</f>
        <v>1900</v>
      </c>
    </row>
    <row r="86" spans="1:26" s="81" customFormat="1" outlineLevel="1" x14ac:dyDescent="0.3">
      <c r="A86" s="263">
        <f t="shared" si="9"/>
        <v>15</v>
      </c>
      <c r="B86" s="263"/>
      <c r="C86" s="263"/>
      <c r="D86" s="263"/>
      <c r="E86" s="261"/>
      <c r="F86" s="262"/>
      <c r="G86" s="262"/>
      <c r="H86" s="262"/>
      <c r="I86" s="267">
        <f>SUM(E86:H86)</f>
        <v>0</v>
      </c>
      <c r="R86" s="263">
        <f t="shared" si="7"/>
        <v>15</v>
      </c>
      <c r="S86" s="263"/>
      <c r="T86" s="263"/>
      <c r="U86" s="263"/>
      <c r="V86" s="261"/>
      <c r="W86" s="262"/>
      <c r="X86" s="262"/>
      <c r="Y86" s="262"/>
      <c r="Z86" s="267">
        <f>SUM(V86:Y86)</f>
        <v>0</v>
      </c>
    </row>
    <row r="87" spans="1:26" outlineLevel="1" x14ac:dyDescent="0.3">
      <c r="A87" s="263">
        <f t="shared" si="9"/>
        <v>16</v>
      </c>
      <c r="B87" s="113" t="s">
        <v>765</v>
      </c>
      <c r="C87" s="113"/>
      <c r="D87" s="113"/>
      <c r="E87" s="128">
        <f>Tabelle513242864[[#Totals],[Aufwandsentschädigungen]]</f>
        <v>0</v>
      </c>
      <c r="F87" s="129">
        <f>Tabelle513242864[[#Totals],[Interne Reisekosten]]</f>
        <v>0</v>
      </c>
      <c r="G87" s="129">
        <f>Tabelle513242864[[#Totals],[Raum + Unterkunft intern]]</f>
        <v>0</v>
      </c>
      <c r="H87" s="129">
        <f>Tabelle513242864[[#Totals],[Repräsentation/Bewirtung intern]]</f>
        <v>0</v>
      </c>
      <c r="I87" s="268">
        <f>SUM(E87:H87)</f>
        <v>0</v>
      </c>
      <c r="R87" s="98">
        <f t="shared" si="7"/>
        <v>16</v>
      </c>
      <c r="S87" s="113" t="s">
        <v>765</v>
      </c>
      <c r="T87" s="113"/>
      <c r="U87" s="113"/>
      <c r="V87" s="128">
        <f>Tabelle5132428[[#Totals],[Aufwandsentschädigungen]]</f>
        <v>500</v>
      </c>
      <c r="W87" s="129">
        <f>Tabelle5132428[[#Totals],[Interne Reisekosten]]</f>
        <v>1000</v>
      </c>
      <c r="X87" s="129">
        <f>Tabelle5132428[[#Totals],[Raum + Unterkunft intern]]</f>
        <v>200</v>
      </c>
      <c r="Y87" s="129">
        <f>Tabelle5132428[[#Totals],[Repräsentation/Bewirtung intern]]</f>
        <v>200</v>
      </c>
      <c r="Z87" s="268">
        <f>SUM(V87:Y87)</f>
        <v>1900</v>
      </c>
    </row>
    <row r="88" spans="1:26" s="81" customFormat="1" ht="15.75" customHeight="1" outlineLevel="1" thickBot="1" x14ac:dyDescent="0.35">
      <c r="A88" s="263">
        <f t="shared" si="9"/>
        <v>17</v>
      </c>
      <c r="B88" s="264" t="s">
        <v>606</v>
      </c>
      <c r="C88" s="264"/>
      <c r="D88" s="264" t="s">
        <v>766</v>
      </c>
      <c r="E88" s="265"/>
      <c r="F88" s="266"/>
      <c r="G88" s="266"/>
      <c r="H88" s="266"/>
      <c r="I88" s="269"/>
      <c r="R88" s="263">
        <f t="shared" si="7"/>
        <v>17</v>
      </c>
      <c r="S88" s="264" t="s">
        <v>606</v>
      </c>
      <c r="T88" s="264"/>
      <c r="U88" s="264" t="s">
        <v>766</v>
      </c>
      <c r="V88" s="265">
        <v>1000</v>
      </c>
      <c r="W88" s="266">
        <v>2000</v>
      </c>
      <c r="X88" s="266">
        <v>500</v>
      </c>
      <c r="Y88" s="266">
        <v>200</v>
      </c>
      <c r="Z88" s="269">
        <f>SUM(V88:Y88)</f>
        <v>3700</v>
      </c>
    </row>
    <row r="89" spans="1:26" ht="23.25" customHeight="1" thickBot="1" x14ac:dyDescent="0.35">
      <c r="A89" s="98"/>
      <c r="B89" s="98"/>
      <c r="C89" s="98"/>
      <c r="D89" s="107" t="s">
        <v>697</v>
      </c>
      <c r="E89" s="274">
        <f>SUBTOTAL(9,Tabelle615252965[Aufwandsentschädigungen])</f>
        <v>0</v>
      </c>
      <c r="F89" s="387">
        <f>SUBTOTAL(9,Tabelle615252965[Interne Reisekosten])</f>
        <v>0</v>
      </c>
      <c r="G89" s="387">
        <f>SUBTOTAL(9,Tabelle615252965[Raum + Unterkunft intern])</f>
        <v>0</v>
      </c>
      <c r="H89" s="387">
        <f>SUBTOTAL(9,Tabelle615252965[Repräsentation/Bewirtung intern])</f>
        <v>0</v>
      </c>
      <c r="I89" s="674">
        <f>SUBTOTAL(9,Tabelle615252965[Gesamt])</f>
        <v>0</v>
      </c>
      <c r="R89" s="98"/>
      <c r="S89" s="98"/>
      <c r="T89" s="98"/>
      <c r="U89" s="107" t="s">
        <v>697</v>
      </c>
      <c r="V89" s="274">
        <f>SUBTOTAL(9,Tabelle6152529[Aufwandsentschädigungen])</f>
        <v>4400</v>
      </c>
      <c r="W89" s="387">
        <f>SUBTOTAL(9,Tabelle6152529[Interne Reisekosten])</f>
        <v>6000</v>
      </c>
      <c r="X89" s="387">
        <f>SUBTOTAL(9,Tabelle6152529[Raum + Unterkunft intern])</f>
        <v>1700</v>
      </c>
      <c r="Y89" s="387">
        <f>SUBTOTAL(9,Tabelle6152529[Repräsentation/Bewirtung intern])</f>
        <v>520</v>
      </c>
      <c r="Z89" s="384">
        <f>SUBTOTAL(9,Tabelle6152529[Gesamt])</f>
        <v>12620</v>
      </c>
    </row>
  </sheetData>
  <sheetProtection insertRows="0" insertHyperlinks="0" selectLockedCells="1" sort="0" autoFilter="0" pivotTables="0"/>
  <hyperlinks>
    <hyperlink ref="T48" location="ReWi!F5" display="ReWi!F5" xr:uid="{00000000-0004-0000-0C00-000000000000}"/>
    <hyperlink ref="U48" location="ReWi!F6" display="ReWi!F6" xr:uid="{00000000-0004-0000-0C00-000001000000}"/>
    <hyperlink ref="V48" location="ReWi!F7" display="ReWi!F7" xr:uid="{00000000-0004-0000-0C00-000002000000}"/>
    <hyperlink ref="T66" location="ReWi!F6" display="ReWi!F6" xr:uid="{00000000-0004-0000-0C00-000003000000}"/>
    <hyperlink ref="U66" location="ReWi!F7" display="ReWi!F7" xr:uid="{00000000-0004-0000-0C00-000004000000}"/>
    <hyperlink ref="V66" location="ReWi!F11" display="ReWi!F11" xr:uid="{00000000-0004-0000-0C00-000005000000}"/>
    <hyperlink ref="V89" location="ReWi!F11" display="ReWi!F11" xr:uid="{00000000-0004-0000-0C00-000006000000}"/>
    <hyperlink ref="W66" location="ReWi!F12" display="ReWi!F12" xr:uid="{00000000-0004-0000-0C00-000007000000}"/>
    <hyperlink ref="W89" location="ReWi!F12" display="ReWi!F12" xr:uid="{00000000-0004-0000-0C00-000008000000}"/>
    <hyperlink ref="X66" location="ReWi!F13" display="ReWi!F13" xr:uid="{00000000-0004-0000-0C00-000009000000}"/>
    <hyperlink ref="X89" location="ReWi!F13" display="ReWi!F13" xr:uid="{00000000-0004-0000-0C00-00000A000000}"/>
    <hyperlink ref="Y66" location="ReWi!F14" display="ReWi!F14" xr:uid="{00000000-0004-0000-0C00-00000B000000}"/>
    <hyperlink ref="Y89" location="ReWi!F14" display="ReWi!F14" xr:uid="{00000000-0004-0000-0C00-00000C000000}"/>
    <hyperlink ref="W48" location="ReWi!F15" display="ReWi!F15" xr:uid="{00000000-0004-0000-0C00-00000D000000}"/>
    <hyperlink ref="X48" location="ReWi!F16" display="ReWi!F16" xr:uid="{00000000-0004-0000-0C00-00000E000000}"/>
    <hyperlink ref="Z66" location="ReWi!F18" display="ReWi!F18" xr:uid="{00000000-0004-0000-0C00-00000F000000}"/>
    <hyperlink ref="AA66" location="ReWi!F19" display="ReWi!F19" xr:uid="{00000000-0004-0000-0C00-000010000000}"/>
    <hyperlink ref="AB66" location="ReWi!F20" display="ReWi!F20" xr:uid="{00000000-0004-0000-0C00-000011000000}"/>
    <hyperlink ref="Y48" location="ReWi!F17" display="ReWi!F17" xr:uid="{00000000-0004-0000-0C00-000012000000}"/>
    <hyperlink ref="Z48" location="ReWi!F18" display="ReWi!F18" xr:uid="{00000000-0004-0000-0C00-000013000000}"/>
    <hyperlink ref="AA48" location="ReWi!F19" display="ReWi!F19" xr:uid="{00000000-0004-0000-0C00-000014000000}"/>
    <hyperlink ref="AB48" location="ReWi!F20" display="ReWi!F20" xr:uid="{00000000-0004-0000-0C00-000015000000}"/>
    <hyperlink ref="AC66" location="ReWi!F21" display="ReWi!F21" xr:uid="{00000000-0004-0000-0C00-000016000000}"/>
    <hyperlink ref="AD66" location="ReWi!F22" display="ReWi!F22" xr:uid="{00000000-0004-0000-0C00-000017000000}"/>
    <hyperlink ref="B11" location="Rewi_AE_var" display="AE variabel" xr:uid="{00000000-0004-0000-0C00-000018000000}"/>
    <hyperlink ref="B12" location="Rewi_RK_Int." display="Fahrtkosten und Verpflegungspauschalen" xr:uid="{00000000-0004-0000-0C00-000019000000}"/>
    <hyperlink ref="B13" location="Rewi_R_U_Int." display="Raum- und Unterkunftskosten" xr:uid="{00000000-0004-0000-0C00-00001A000000}"/>
    <hyperlink ref="B14" location="Rewi_Bew.Int." display="Bewirtung und Repräsentation intern" xr:uid="{00000000-0004-0000-0C00-00001B000000}"/>
    <hyperlink ref="B15" location="Rewi_Hon_I" display="Honorare Fachseminare" xr:uid="{00000000-0004-0000-0C00-00001C000000}"/>
    <hyperlink ref="B16" location="Rewi_Hon_II" display="Andere Honorare" xr:uid="{00000000-0004-0000-0C00-00001D000000}"/>
    <hyperlink ref="B17" location="Rewi_Ext.RK" display="Ext. Reisekosten" xr:uid="{00000000-0004-0000-0C00-00001E000000}"/>
    <hyperlink ref="B18" location="Rewi_Bew.Ext." display="Bewirtung und Repräsentation extern" xr:uid="{00000000-0004-0000-0C00-00001F000000}"/>
    <hyperlink ref="B19" location="Rewi_R_U_Ext." display="Raum- und Unterkunftskosten Seminare und Veranst." xr:uid="{00000000-0004-0000-0C00-000020000000}"/>
    <hyperlink ref="B20" location="Rewi_Druck" display="Druckkosten" xr:uid="{00000000-0004-0000-0C00-000021000000}"/>
    <hyperlink ref="B21" location="Rewi_Sonst." display="Sonstige Kosten (Lizenzen, Allg. Geschäftsbetrieb)" xr:uid="{00000000-0004-0000-0C00-000022000000}"/>
    <hyperlink ref="B22" location="Rechtsk.FSen" display="Rechtsangelegenheiten" xr:uid="{00000000-0004-0000-0C00-000023000000}"/>
    <hyperlink ref="B7" location="Rewi_Sonst_Einnahmen" display="Sonstige Einnahmen (Vorauszahlungen Bewirtung, Werbung, …)" xr:uid="{00000000-0004-0000-0C00-000024000000}"/>
    <hyperlink ref="B6" location="Rewi_TN_Beiträge_II" display="Teilnahmebeiträge Veranstaltungen" xr:uid="{00000000-0004-0000-0C00-000025000000}"/>
    <hyperlink ref="B5" location="Rewi_TN_Beiträge_I" display="Teilnahmebeiträge Seminare" xr:uid="{00000000-0004-0000-0C00-000026000000}"/>
    <hyperlink ref="H11" location="AEFKRewi_413.21" display="AEFKRewi_413.21" xr:uid="{00000000-0004-0000-0C00-000027000000}"/>
    <hyperlink ref="H12" location="AEFKRewi_527.40" display="AEFKRewi_527.40" xr:uid="{00000000-0004-0000-0C00-000028000000}"/>
    <hyperlink ref="H13" location="AEFKRewi_529.40" display="AEFKRewi_529.40" xr:uid="{00000000-0004-0000-0C00-000029000000}"/>
    <hyperlink ref="H14" location="AEFKRewi_531.40" display="AEFKRewi_531.40" xr:uid="{00000000-0004-0000-0C00-00002A000000}"/>
    <hyperlink ref="H15" location="SemRewi_551.10" display="SemRewi_551.10" xr:uid="{00000000-0004-0000-0C00-00002B000000}"/>
    <hyperlink ref="H17" location="SemRewi_551.30" display="SemRewi_551.30" xr:uid="{00000000-0004-0000-0C00-00002C000000}"/>
    <hyperlink ref="H18" location="SemRewi_551.40" display="SemRewi_551.40" xr:uid="{00000000-0004-0000-0C00-00002D000000}"/>
    <hyperlink ref="H19" location="SemRewi_551.50" display="SemRewi_551.50" xr:uid="{00000000-0004-0000-0C00-00002E000000}"/>
    <hyperlink ref="H20" location="MaßnRewi_551.60" display="MaßnRewi_551.60" xr:uid="{00000000-0004-0000-0C00-00002F000000}"/>
    <hyperlink ref="H21" location="MaßnRewi_551.70" display="MaßnRewi_551.70" xr:uid="{00000000-0004-0000-0C00-000030000000}"/>
    <hyperlink ref="H22" location="MaßnRewi_560.70" display="MaßnRewi_560.70" xr:uid="{00000000-0004-0000-0C00-000031000000}"/>
    <hyperlink ref="H5" location="SemRewi_210.10" display="SemRewi_210.10" xr:uid="{00000000-0004-0000-0C00-000032000000}"/>
    <hyperlink ref="H6" location="MaßnRewi_220.10" display="MaßnRewi_220.10" xr:uid="{00000000-0004-0000-0C00-000033000000}"/>
    <hyperlink ref="H7" location="MaßnRewi_230.10" display="MaßnRewi_230.10" xr:uid="{00000000-0004-0000-0C00-000034000000}"/>
    <hyperlink ref="C48" location="ReWi!F5" display="ReWi!F5" xr:uid="{00000000-0004-0000-0C00-000035000000}"/>
    <hyperlink ref="D48" location="ReWi!F6" display="ReWi!F6" xr:uid="{00000000-0004-0000-0C00-000036000000}"/>
    <hyperlink ref="E48" location="ReWi!F7" display="ReWi!F7" xr:uid="{00000000-0004-0000-0C00-000037000000}"/>
    <hyperlink ref="C66" location="ReWi!F6" display="ReWi!F6" xr:uid="{00000000-0004-0000-0C00-000038000000}"/>
    <hyperlink ref="D66" location="ReWi!F7" display="ReWi!F7" xr:uid="{00000000-0004-0000-0C00-000039000000}"/>
    <hyperlink ref="E66" location="ReWi!F11" display="ReWi!F11" xr:uid="{00000000-0004-0000-0C00-00003A000000}"/>
    <hyperlink ref="E89" location="ReWi!F11" display="ReWi!F11" xr:uid="{00000000-0004-0000-0C00-00003B000000}"/>
    <hyperlink ref="F66" location="ReWi!F12" display="ReWi!F12" xr:uid="{00000000-0004-0000-0C00-00003C000000}"/>
    <hyperlink ref="F89" location="ReWi!F12" display="ReWi!F12" xr:uid="{00000000-0004-0000-0C00-00003D000000}"/>
    <hyperlink ref="G66" location="ReWi!F13" display="ReWi!F13" xr:uid="{00000000-0004-0000-0C00-00003E000000}"/>
    <hyperlink ref="G89" location="ReWi!F13" display="ReWi!F13" xr:uid="{00000000-0004-0000-0C00-00003F000000}"/>
    <hyperlink ref="H66" location="ReWi!F14" display="ReWi!F14" xr:uid="{00000000-0004-0000-0C00-000040000000}"/>
    <hyperlink ref="H89" location="ReWi!F14" display="ReWi!F14" xr:uid="{00000000-0004-0000-0C00-000041000000}"/>
    <hyperlink ref="F48" location="ReWi!F15" display="ReWi!F15" xr:uid="{00000000-0004-0000-0C00-000042000000}"/>
    <hyperlink ref="G48" location="ReWi!F16" display="ReWi!F16" xr:uid="{00000000-0004-0000-0C00-000043000000}"/>
    <hyperlink ref="I66" location="ReWi!F18" display="ReWi!F18" xr:uid="{00000000-0004-0000-0C00-000044000000}"/>
    <hyperlink ref="J66" location="ReWi!F19" display="ReWi!F19" xr:uid="{00000000-0004-0000-0C00-000045000000}"/>
    <hyperlink ref="K66" location="ReWi!F20" display="ReWi!F20" xr:uid="{00000000-0004-0000-0C00-000046000000}"/>
    <hyperlink ref="H48" location="ReWi!F17" display="ReWi!F17" xr:uid="{00000000-0004-0000-0C00-000047000000}"/>
    <hyperlink ref="I48" location="ReWi!F18" display="ReWi!F18" xr:uid="{00000000-0004-0000-0C00-000048000000}"/>
    <hyperlink ref="J48" location="ReWi!F19" display="ReWi!F19" xr:uid="{00000000-0004-0000-0C00-000049000000}"/>
    <hyperlink ref="K48" location="ReWi!F20" display="ReWi!F20" xr:uid="{00000000-0004-0000-0C00-00004A000000}"/>
    <hyperlink ref="L66" location="ReWi!F21" display="ReWi!F21" xr:uid="{00000000-0004-0000-0C00-00004B000000}"/>
    <hyperlink ref="M66" location="ReWi!F22" display="ReWi!F22" xr:uid="{00000000-0004-0000-0C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93"/>
  <sheetViews>
    <sheetView zoomScale="90" zoomScaleNormal="90" workbookViewId="0">
      <pane ySplit="4" topLeftCell="A100" activePane="bottomLeft" state="frozen"/>
      <selection pane="bottomLeft" activeCell="E147" sqref="E147"/>
    </sheetView>
  </sheetViews>
  <sheetFormatPr baseColWidth="10" defaultColWidth="11.44140625" defaultRowHeight="14.4" x14ac:dyDescent="0.3"/>
  <cols>
    <col min="1" max="1" width="10.109375" style="39" customWidth="1"/>
    <col min="2" max="2" width="38.44140625" style="39" customWidth="1"/>
    <col min="3" max="3" width="17.33203125" style="610" customWidth="1"/>
    <col min="4" max="4" width="17.33203125" style="611" customWidth="1"/>
    <col min="5" max="5" width="19.44140625" style="571" customWidth="1"/>
    <col min="6" max="7" width="17.33203125" style="611" customWidth="1"/>
    <col min="8" max="10" width="13.77734375" style="39" customWidth="1"/>
    <col min="11" max="12" width="13.6640625" style="39" customWidth="1"/>
    <col min="13" max="15" width="13.77734375" style="39" customWidth="1"/>
    <col min="16" max="18" width="15.44140625" style="39" customWidth="1"/>
    <col min="19" max="19" width="15.77734375" style="39" customWidth="1"/>
    <col min="20" max="20" width="16.6640625" style="39" customWidth="1"/>
    <col min="21" max="21" width="14.33203125" style="395" customWidth="1"/>
    <col min="22" max="22" width="18.33203125" style="419" customWidth="1"/>
    <col min="23" max="23" width="15.77734375" style="39" customWidth="1"/>
    <col min="24" max="24" width="13.44140625" style="39" customWidth="1"/>
    <col min="25" max="25" width="14.44140625" style="39" customWidth="1"/>
    <col min="26" max="16384" width="11.44140625" style="39"/>
  </cols>
  <sheetData>
    <row r="1" spans="1:22" x14ac:dyDescent="0.3">
      <c r="A1" s="388"/>
      <c r="B1" s="389"/>
      <c r="C1" s="390" t="s">
        <v>785</v>
      </c>
      <c r="D1" s="391" t="s">
        <v>786</v>
      </c>
      <c r="E1" s="392" t="s">
        <v>785</v>
      </c>
      <c r="F1" s="393" t="s">
        <v>785</v>
      </c>
      <c r="G1" s="393" t="s">
        <v>786</v>
      </c>
      <c r="H1" s="394" t="s">
        <v>785</v>
      </c>
      <c r="I1" s="394" t="s">
        <v>785</v>
      </c>
      <c r="J1" s="394" t="s">
        <v>785</v>
      </c>
      <c r="K1" s="394" t="s">
        <v>785</v>
      </c>
      <c r="L1" s="394" t="s">
        <v>785</v>
      </c>
      <c r="M1" s="394" t="s">
        <v>785</v>
      </c>
      <c r="N1" s="394" t="s">
        <v>785</v>
      </c>
      <c r="O1" s="394" t="s">
        <v>785</v>
      </c>
      <c r="P1" s="394" t="s">
        <v>785</v>
      </c>
      <c r="Q1" s="394" t="s">
        <v>785</v>
      </c>
      <c r="R1" s="394" t="s">
        <v>785</v>
      </c>
      <c r="S1" s="394" t="s">
        <v>785</v>
      </c>
      <c r="T1" s="394" t="s">
        <v>785</v>
      </c>
      <c r="V1" s="396"/>
    </row>
    <row r="2" spans="1:22" x14ac:dyDescent="0.3">
      <c r="A2" s="397"/>
      <c r="C2" s="398" t="s">
        <v>787</v>
      </c>
      <c r="D2" s="399" t="s">
        <v>788</v>
      </c>
      <c r="E2" s="400" t="s">
        <v>787</v>
      </c>
      <c r="F2" s="399" t="s">
        <v>789</v>
      </c>
      <c r="G2" s="399" t="s">
        <v>789</v>
      </c>
      <c r="H2" s="401" t="s">
        <v>789</v>
      </c>
      <c r="I2" s="401" t="s">
        <v>789</v>
      </c>
      <c r="J2" s="401" t="s">
        <v>789</v>
      </c>
      <c r="K2" s="401" t="s">
        <v>789</v>
      </c>
      <c r="L2" s="401" t="s">
        <v>789</v>
      </c>
      <c r="M2" s="401" t="s">
        <v>789</v>
      </c>
      <c r="N2" s="401" t="s">
        <v>789</v>
      </c>
      <c r="O2" s="401" t="s">
        <v>789</v>
      </c>
      <c r="P2" s="401" t="s">
        <v>789</v>
      </c>
      <c r="Q2" s="401" t="s">
        <v>789</v>
      </c>
      <c r="R2" s="401" t="s">
        <v>789</v>
      </c>
      <c r="S2" s="401" t="s">
        <v>789</v>
      </c>
      <c r="T2" s="401" t="s">
        <v>789</v>
      </c>
      <c r="V2" s="396"/>
    </row>
    <row r="3" spans="1:22" x14ac:dyDescent="0.3">
      <c r="A3" s="397" t="s">
        <v>790</v>
      </c>
      <c r="C3" s="398" t="s">
        <v>791</v>
      </c>
      <c r="D3" s="399" t="s">
        <v>791</v>
      </c>
      <c r="E3" s="402" t="s">
        <v>8</v>
      </c>
      <c r="F3" s="399" t="s">
        <v>791</v>
      </c>
      <c r="G3" s="399" t="s">
        <v>791</v>
      </c>
      <c r="H3" s="403" t="s">
        <v>8</v>
      </c>
      <c r="I3" s="403" t="s">
        <v>8</v>
      </c>
      <c r="J3" s="403" t="s">
        <v>8</v>
      </c>
      <c r="K3" s="403" t="s">
        <v>8</v>
      </c>
      <c r="L3" s="403" t="s">
        <v>8</v>
      </c>
      <c r="M3" s="403" t="s">
        <v>8</v>
      </c>
      <c r="N3" s="403" t="s">
        <v>8</v>
      </c>
      <c r="O3" s="403" t="s">
        <v>8</v>
      </c>
      <c r="P3" s="403" t="s">
        <v>8</v>
      </c>
      <c r="Q3" s="403" t="s">
        <v>8</v>
      </c>
      <c r="R3" s="403" t="s">
        <v>8</v>
      </c>
      <c r="S3" s="403" t="s">
        <v>8</v>
      </c>
      <c r="T3" s="403" t="s">
        <v>8</v>
      </c>
      <c r="V3" s="396"/>
    </row>
    <row r="4" spans="1:22" ht="25.2" customHeight="1" thickBot="1" x14ac:dyDescent="0.35">
      <c r="A4" s="404" t="s">
        <v>792</v>
      </c>
      <c r="B4" s="405" t="s">
        <v>793</v>
      </c>
      <c r="C4" s="406" t="s">
        <v>794</v>
      </c>
      <c r="D4" s="407" t="s">
        <v>795</v>
      </c>
      <c r="E4" s="408">
        <v>44469</v>
      </c>
      <c r="F4" s="409" t="s">
        <v>796</v>
      </c>
      <c r="G4" s="409"/>
      <c r="H4" s="410">
        <v>44500</v>
      </c>
      <c r="I4" s="410">
        <v>44530</v>
      </c>
      <c r="J4" s="410">
        <v>44561</v>
      </c>
      <c r="K4" s="410">
        <v>44592</v>
      </c>
      <c r="L4" s="410">
        <v>44620</v>
      </c>
      <c r="M4" s="410">
        <v>44643</v>
      </c>
      <c r="N4" s="410">
        <v>44651</v>
      </c>
      <c r="O4" s="410">
        <v>44681</v>
      </c>
      <c r="P4" s="410">
        <v>44712</v>
      </c>
      <c r="Q4" s="410">
        <v>44742</v>
      </c>
      <c r="R4" s="410">
        <v>44773</v>
      </c>
      <c r="S4" s="410">
        <v>44804</v>
      </c>
      <c r="T4" s="410" t="s">
        <v>797</v>
      </c>
      <c r="V4" s="396"/>
    </row>
    <row r="5" spans="1:22" s="420" customFormat="1" x14ac:dyDescent="0.3">
      <c r="A5" s="411" t="s">
        <v>724</v>
      </c>
      <c r="B5" s="412"/>
      <c r="C5" s="413"/>
      <c r="D5" s="414"/>
      <c r="E5" s="415"/>
      <c r="F5" s="416"/>
      <c r="G5" s="416"/>
      <c r="H5" s="417"/>
      <c r="I5" s="417"/>
      <c r="J5" s="417"/>
      <c r="K5" s="417"/>
      <c r="L5" s="417"/>
      <c r="M5" s="417"/>
      <c r="N5" s="417"/>
      <c r="O5" s="417"/>
      <c r="P5" s="417"/>
      <c r="Q5" s="417"/>
      <c r="R5" s="417"/>
      <c r="S5" s="417"/>
      <c r="T5" s="417"/>
      <c r="U5" s="418"/>
      <c r="V5" s="419"/>
    </row>
    <row r="6" spans="1:22" s="420" customFormat="1" x14ac:dyDescent="0.3">
      <c r="A6" s="421" t="s">
        <v>798</v>
      </c>
      <c r="B6" s="412" t="s">
        <v>20</v>
      </c>
      <c r="C6" s="422"/>
      <c r="D6" s="416"/>
      <c r="E6" s="423"/>
      <c r="F6" s="416"/>
      <c r="G6" s="416"/>
      <c r="H6" s="417"/>
      <c r="I6" s="417"/>
      <c r="J6" s="417"/>
      <c r="K6" s="417"/>
      <c r="L6" s="417"/>
      <c r="M6" s="417"/>
      <c r="N6" s="417"/>
      <c r="O6" s="417"/>
      <c r="P6" s="417"/>
      <c r="Q6" s="417"/>
      <c r="R6" s="417"/>
      <c r="S6" s="417"/>
      <c r="T6" s="424"/>
      <c r="U6" s="418"/>
      <c r="V6" s="419"/>
    </row>
    <row r="7" spans="1:22" s="420" customFormat="1" x14ac:dyDescent="0.3">
      <c r="A7" s="425" t="s">
        <v>799</v>
      </c>
      <c r="B7" s="426" t="s">
        <v>800</v>
      </c>
      <c r="C7" s="427">
        <v>0</v>
      </c>
      <c r="D7" s="428">
        <v>0</v>
      </c>
      <c r="E7" s="429">
        <v>5</v>
      </c>
      <c r="F7" s="428">
        <v>0</v>
      </c>
      <c r="G7" s="428"/>
      <c r="H7" s="430">
        <v>0</v>
      </c>
      <c r="I7" s="430">
        <v>0</v>
      </c>
      <c r="J7" s="430">
        <v>0</v>
      </c>
      <c r="K7" s="430">
        <v>0</v>
      </c>
      <c r="L7" s="430">
        <v>0</v>
      </c>
      <c r="M7" s="430">
        <v>0</v>
      </c>
      <c r="N7" s="430">
        <v>0</v>
      </c>
      <c r="O7" s="430">
        <v>0</v>
      </c>
      <c r="P7" s="430">
        <v>0</v>
      </c>
      <c r="Q7" s="430">
        <v>0</v>
      </c>
      <c r="R7" s="430">
        <v>0</v>
      </c>
      <c r="S7" s="430"/>
      <c r="T7" s="714">
        <v>0</v>
      </c>
      <c r="U7" s="418"/>
      <c r="V7" s="419"/>
    </row>
    <row r="8" spans="1:22" s="420" customFormat="1" x14ac:dyDescent="0.3">
      <c r="A8" s="425" t="s">
        <v>30</v>
      </c>
      <c r="B8" s="426" t="s">
        <v>801</v>
      </c>
      <c r="C8" s="427">
        <v>0</v>
      </c>
      <c r="D8" s="428">
        <v>0</v>
      </c>
      <c r="E8" s="429">
        <v>0</v>
      </c>
      <c r="F8" s="428">
        <v>0</v>
      </c>
      <c r="G8" s="428"/>
      <c r="H8" s="430">
        <v>0</v>
      </c>
      <c r="I8" s="430">
        <v>0</v>
      </c>
      <c r="J8" s="430">
        <v>0</v>
      </c>
      <c r="K8" s="430">
        <v>0</v>
      </c>
      <c r="L8" s="430">
        <v>0</v>
      </c>
      <c r="M8" s="430">
        <v>0</v>
      </c>
      <c r="N8" s="430">
        <v>0</v>
      </c>
      <c r="O8" s="430">
        <v>0</v>
      </c>
      <c r="P8" s="430">
        <v>0</v>
      </c>
      <c r="Q8" s="430">
        <v>0</v>
      </c>
      <c r="R8" s="430">
        <v>0</v>
      </c>
      <c r="S8" s="430"/>
      <c r="T8" s="714">
        <v>0</v>
      </c>
      <c r="U8" s="418"/>
      <c r="V8" s="419"/>
    </row>
    <row r="9" spans="1:22" x14ac:dyDescent="0.3">
      <c r="A9" s="431" t="s">
        <v>802</v>
      </c>
      <c r="B9" s="432" t="s">
        <v>803</v>
      </c>
      <c r="C9" s="433">
        <v>5000</v>
      </c>
      <c r="D9" s="434">
        <v>2000</v>
      </c>
      <c r="E9" s="435">
        <v>2630</v>
      </c>
      <c r="F9" s="434">
        <v>5000</v>
      </c>
      <c r="G9" s="434"/>
      <c r="H9" s="436">
        <v>0</v>
      </c>
      <c r="I9" s="436">
        <v>0</v>
      </c>
      <c r="J9" s="436">
        <v>0</v>
      </c>
      <c r="K9" s="436">
        <v>0</v>
      </c>
      <c r="L9" s="436">
        <v>0</v>
      </c>
      <c r="M9" s="436">
        <v>0</v>
      </c>
      <c r="N9" s="436">
        <v>0</v>
      </c>
      <c r="O9" s="436">
        <v>0</v>
      </c>
      <c r="P9" s="436">
        <v>1080</v>
      </c>
      <c r="Q9" s="436">
        <v>1955</v>
      </c>
      <c r="R9" s="436">
        <v>4640</v>
      </c>
      <c r="S9" s="437"/>
      <c r="T9" s="715">
        <v>6205</v>
      </c>
    </row>
    <row r="10" spans="1:22" x14ac:dyDescent="0.3">
      <c r="A10" s="431" t="s">
        <v>804</v>
      </c>
      <c r="B10" s="432" t="s">
        <v>805</v>
      </c>
      <c r="C10" s="433">
        <v>0</v>
      </c>
      <c r="D10" s="434">
        <v>0</v>
      </c>
      <c r="E10" s="439">
        <v>0</v>
      </c>
      <c r="F10" s="434">
        <v>1000</v>
      </c>
      <c r="G10" s="434"/>
      <c r="H10" s="436">
        <v>0</v>
      </c>
      <c r="I10" s="436">
        <v>0</v>
      </c>
      <c r="J10" s="436">
        <v>0</v>
      </c>
      <c r="K10" s="436">
        <v>0</v>
      </c>
      <c r="L10" s="436">
        <v>0</v>
      </c>
      <c r="M10" s="436">
        <v>0</v>
      </c>
      <c r="N10" s="436">
        <v>0</v>
      </c>
      <c r="O10" s="436">
        <v>0</v>
      </c>
      <c r="P10" s="436">
        <v>0</v>
      </c>
      <c r="Q10" s="436">
        <v>0</v>
      </c>
      <c r="R10" s="436">
        <v>0</v>
      </c>
      <c r="S10" s="438"/>
      <c r="T10" s="716">
        <v>0</v>
      </c>
    </row>
    <row r="11" spans="1:22" x14ac:dyDescent="0.3">
      <c r="A11" s="440" t="s">
        <v>806</v>
      </c>
      <c r="B11" s="441" t="s">
        <v>807</v>
      </c>
      <c r="C11" s="442"/>
      <c r="D11" s="443"/>
      <c r="E11" s="444"/>
      <c r="F11" s="443"/>
      <c r="G11" s="443"/>
      <c r="H11" s="445"/>
      <c r="I11" s="445"/>
      <c r="J11" s="445"/>
      <c r="K11" s="445"/>
      <c r="L11" s="445"/>
      <c r="M11" s="445"/>
      <c r="N11" s="445"/>
      <c r="O11" s="445"/>
      <c r="P11" s="445"/>
      <c r="Q11" s="445"/>
      <c r="R11" s="445"/>
      <c r="S11" s="446"/>
      <c r="T11" s="717"/>
    </row>
    <row r="12" spans="1:22" x14ac:dyDescent="0.3">
      <c r="A12" s="431" t="s">
        <v>34</v>
      </c>
      <c r="B12" s="432" t="s">
        <v>808</v>
      </c>
      <c r="C12" s="433">
        <v>15000</v>
      </c>
      <c r="D12" s="434">
        <v>22000</v>
      </c>
      <c r="E12" s="447">
        <v>21885</v>
      </c>
      <c r="F12" s="434">
        <v>23000</v>
      </c>
      <c r="G12" s="434"/>
      <c r="H12" s="448">
        <v>630</v>
      </c>
      <c r="I12" s="448">
        <v>1665</v>
      </c>
      <c r="J12" s="448">
        <v>3825</v>
      </c>
      <c r="K12" s="448">
        <v>12735</v>
      </c>
      <c r="L12" s="448">
        <v>18945</v>
      </c>
      <c r="M12" s="448">
        <v>19500</v>
      </c>
      <c r="N12" s="448">
        <v>19635</v>
      </c>
      <c r="O12" s="448">
        <v>19725</v>
      </c>
      <c r="P12" s="448">
        <v>21795</v>
      </c>
      <c r="Q12" s="448">
        <v>26070</v>
      </c>
      <c r="R12" s="449">
        <v>31015</v>
      </c>
      <c r="S12" s="450"/>
      <c r="T12" s="715">
        <v>37605</v>
      </c>
    </row>
    <row r="13" spans="1:22" x14ac:dyDescent="0.3">
      <c r="A13" s="431" t="s">
        <v>37</v>
      </c>
      <c r="B13" s="432" t="s">
        <v>809</v>
      </c>
      <c r="C13" s="433">
        <v>1500</v>
      </c>
      <c r="D13" s="434">
        <v>1500</v>
      </c>
      <c r="E13" s="447">
        <v>374</v>
      </c>
      <c r="F13" s="434">
        <v>1500</v>
      </c>
      <c r="G13" s="434"/>
      <c r="H13" s="448">
        <v>0</v>
      </c>
      <c r="I13" s="448">
        <v>0</v>
      </c>
      <c r="J13" s="448">
        <v>0</v>
      </c>
      <c r="K13" s="448">
        <v>0</v>
      </c>
      <c r="L13" s="448">
        <v>0</v>
      </c>
      <c r="M13" s="448">
        <v>0</v>
      </c>
      <c r="N13" s="448">
        <v>0</v>
      </c>
      <c r="O13" s="448">
        <v>0</v>
      </c>
      <c r="P13" s="448">
        <v>0</v>
      </c>
      <c r="Q13" s="448">
        <v>0</v>
      </c>
      <c r="R13" s="448">
        <v>20</v>
      </c>
      <c r="S13" s="450"/>
      <c r="T13" s="718">
        <v>318</v>
      </c>
    </row>
    <row r="14" spans="1:22" x14ac:dyDescent="0.3">
      <c r="A14" s="431" t="s">
        <v>40</v>
      </c>
      <c r="B14" s="432" t="s">
        <v>810</v>
      </c>
      <c r="C14" s="433">
        <v>4500</v>
      </c>
      <c r="D14" s="434">
        <v>4500</v>
      </c>
      <c r="E14" s="447">
        <v>3030</v>
      </c>
      <c r="F14" s="434">
        <v>4500</v>
      </c>
      <c r="G14" s="434"/>
      <c r="H14" s="448">
        <v>330</v>
      </c>
      <c r="I14" s="448">
        <v>450</v>
      </c>
      <c r="J14" s="448">
        <v>420</v>
      </c>
      <c r="K14" s="448">
        <v>810</v>
      </c>
      <c r="L14" s="448">
        <v>1170</v>
      </c>
      <c r="M14" s="448">
        <v>1200</v>
      </c>
      <c r="N14" s="448">
        <v>1320</v>
      </c>
      <c r="O14" s="448">
        <v>1770</v>
      </c>
      <c r="P14" s="448">
        <v>1860</v>
      </c>
      <c r="Q14" s="448">
        <v>2220</v>
      </c>
      <c r="R14" s="448">
        <v>2490</v>
      </c>
      <c r="S14" s="450"/>
      <c r="T14" s="718">
        <v>2550</v>
      </c>
    </row>
    <row r="15" spans="1:22" x14ac:dyDescent="0.3">
      <c r="A15" s="431" t="s">
        <v>77</v>
      </c>
      <c r="B15" s="432" t="s">
        <v>811</v>
      </c>
      <c r="C15" s="433">
        <v>16000</v>
      </c>
      <c r="D15" s="434">
        <v>30000</v>
      </c>
      <c r="E15" s="435">
        <v>32235</v>
      </c>
      <c r="F15" s="434">
        <v>32000</v>
      </c>
      <c r="G15" s="434"/>
      <c r="H15" s="448">
        <v>50</v>
      </c>
      <c r="I15" s="448">
        <v>1700</v>
      </c>
      <c r="J15" s="448">
        <v>6110</v>
      </c>
      <c r="K15" s="448">
        <v>15060</v>
      </c>
      <c r="L15" s="448">
        <v>18585</v>
      </c>
      <c r="M15" s="448">
        <v>18285</v>
      </c>
      <c r="N15" s="448">
        <v>18285</v>
      </c>
      <c r="O15" s="448">
        <v>19135</v>
      </c>
      <c r="P15" s="448">
        <v>19885</v>
      </c>
      <c r="Q15" s="448">
        <v>21105</v>
      </c>
      <c r="R15" s="448">
        <v>22795</v>
      </c>
      <c r="S15" s="437"/>
      <c r="T15" s="718">
        <v>24965</v>
      </c>
    </row>
    <row r="16" spans="1:22" x14ac:dyDescent="0.3">
      <c r="A16" s="425" t="s">
        <v>812</v>
      </c>
      <c r="B16" s="426" t="s">
        <v>813</v>
      </c>
      <c r="C16" s="433">
        <v>0</v>
      </c>
      <c r="D16" s="434">
        <v>0</v>
      </c>
      <c r="E16" s="447">
        <v>0</v>
      </c>
      <c r="F16" s="434">
        <v>0</v>
      </c>
      <c r="G16" s="434"/>
      <c r="H16" s="448">
        <v>0</v>
      </c>
      <c r="I16" s="448">
        <v>0</v>
      </c>
      <c r="J16" s="448">
        <v>0</v>
      </c>
      <c r="K16" s="448">
        <v>0</v>
      </c>
      <c r="L16" s="448">
        <v>0</v>
      </c>
      <c r="M16" s="448">
        <v>0</v>
      </c>
      <c r="N16" s="448">
        <v>0</v>
      </c>
      <c r="O16" s="448">
        <v>0</v>
      </c>
      <c r="P16" s="448">
        <v>0</v>
      </c>
      <c r="Q16" s="448">
        <v>0</v>
      </c>
      <c r="R16" s="448">
        <v>0</v>
      </c>
      <c r="S16" s="450"/>
      <c r="T16" s="718">
        <v>0</v>
      </c>
    </row>
    <row r="17" spans="1:22" x14ac:dyDescent="0.3">
      <c r="A17" s="431" t="s">
        <v>74</v>
      </c>
      <c r="B17" s="432" t="s">
        <v>814</v>
      </c>
      <c r="C17" s="433">
        <v>12000</v>
      </c>
      <c r="D17" s="434">
        <v>18000</v>
      </c>
      <c r="E17" s="435">
        <v>21540.5</v>
      </c>
      <c r="F17" s="434">
        <v>24000</v>
      </c>
      <c r="G17" s="434"/>
      <c r="H17" s="448">
        <v>1710</v>
      </c>
      <c r="I17" s="448">
        <v>4956</v>
      </c>
      <c r="J17" s="448">
        <v>5296</v>
      </c>
      <c r="K17" s="448">
        <v>9220</v>
      </c>
      <c r="L17" s="448">
        <v>11895</v>
      </c>
      <c r="M17" s="448">
        <v>11895</v>
      </c>
      <c r="N17" s="448">
        <v>11895</v>
      </c>
      <c r="O17" s="448">
        <v>12480</v>
      </c>
      <c r="P17" s="448">
        <v>15336</v>
      </c>
      <c r="Q17" s="448">
        <v>19185</v>
      </c>
      <c r="R17" s="448">
        <v>22436</v>
      </c>
      <c r="S17" s="437"/>
      <c r="T17" s="718">
        <v>23964</v>
      </c>
    </row>
    <row r="18" spans="1:22" x14ac:dyDescent="0.3">
      <c r="A18" s="431" t="s">
        <v>815</v>
      </c>
      <c r="B18" s="432" t="s">
        <v>816</v>
      </c>
      <c r="C18" s="433">
        <v>5000</v>
      </c>
      <c r="D18" s="434">
        <v>0</v>
      </c>
      <c r="E18" s="451">
        <v>-20</v>
      </c>
      <c r="F18" s="434">
        <v>2500</v>
      </c>
      <c r="G18" s="434"/>
      <c r="H18" s="448">
        <v>0</v>
      </c>
      <c r="I18" s="448">
        <v>0</v>
      </c>
      <c r="J18" s="448">
        <v>0</v>
      </c>
      <c r="K18" s="448">
        <v>0</v>
      </c>
      <c r="L18" s="448">
        <v>0</v>
      </c>
      <c r="M18" s="448">
        <v>0</v>
      </c>
      <c r="N18" s="448">
        <v>0</v>
      </c>
      <c r="O18" s="448">
        <v>0</v>
      </c>
      <c r="P18" s="448">
        <v>0</v>
      </c>
      <c r="Q18" s="448">
        <v>0</v>
      </c>
      <c r="R18" s="448">
        <v>0</v>
      </c>
      <c r="S18" s="450"/>
      <c r="T18" s="718">
        <v>0</v>
      </c>
    </row>
    <row r="19" spans="1:22" x14ac:dyDescent="0.3">
      <c r="A19" s="431" t="s">
        <v>817</v>
      </c>
      <c r="B19" s="432" t="s">
        <v>818</v>
      </c>
      <c r="C19" s="433">
        <v>2000</v>
      </c>
      <c r="D19" s="434">
        <v>-10000</v>
      </c>
      <c r="E19" s="447">
        <v>-9353.7000000000007</v>
      </c>
      <c r="F19" s="434">
        <v>14500</v>
      </c>
      <c r="G19" s="434"/>
      <c r="H19" s="448">
        <v>0</v>
      </c>
      <c r="I19" s="448">
        <v>0</v>
      </c>
      <c r="J19" s="448">
        <v>0</v>
      </c>
      <c r="K19" s="448">
        <v>0</v>
      </c>
      <c r="L19" s="448">
        <v>0</v>
      </c>
      <c r="M19" s="448">
        <v>0</v>
      </c>
      <c r="N19" s="448">
        <v>0</v>
      </c>
      <c r="O19" s="448">
        <v>0</v>
      </c>
      <c r="P19" s="448">
        <v>0</v>
      </c>
      <c r="Q19" s="448">
        <v>0</v>
      </c>
      <c r="R19" s="448">
        <v>0</v>
      </c>
      <c r="S19" s="450"/>
      <c r="T19" s="718">
        <v>0</v>
      </c>
    </row>
    <row r="20" spans="1:22" x14ac:dyDescent="0.3">
      <c r="A20" s="431" t="s">
        <v>819</v>
      </c>
      <c r="B20" s="432" t="s">
        <v>820</v>
      </c>
      <c r="C20" s="433">
        <v>3000</v>
      </c>
      <c r="D20" s="434">
        <v>-2000</v>
      </c>
      <c r="E20" s="447">
        <v>-1917.83</v>
      </c>
      <c r="F20" s="434">
        <v>10000</v>
      </c>
      <c r="G20" s="434"/>
      <c r="H20" s="448">
        <v>0</v>
      </c>
      <c r="I20" s="448">
        <v>0</v>
      </c>
      <c r="J20" s="448">
        <v>0</v>
      </c>
      <c r="K20" s="448">
        <v>0</v>
      </c>
      <c r="L20" s="448">
        <v>0</v>
      </c>
      <c r="M20" s="448">
        <v>0</v>
      </c>
      <c r="N20" s="448">
        <v>0</v>
      </c>
      <c r="O20" s="448">
        <v>0</v>
      </c>
      <c r="P20" s="448">
        <v>0</v>
      </c>
      <c r="Q20" s="448">
        <v>0</v>
      </c>
      <c r="R20" s="448">
        <v>0</v>
      </c>
      <c r="S20" s="450"/>
      <c r="T20" s="718">
        <v>0</v>
      </c>
    </row>
    <row r="21" spans="1:22" x14ac:dyDescent="0.3">
      <c r="A21" s="452" t="s">
        <v>27</v>
      </c>
      <c r="B21" s="453" t="s">
        <v>821</v>
      </c>
      <c r="C21" s="433">
        <v>0</v>
      </c>
      <c r="D21" s="434">
        <v>0</v>
      </c>
      <c r="E21" s="447">
        <v>0</v>
      </c>
      <c r="F21" s="434">
        <v>0</v>
      </c>
      <c r="G21" s="434"/>
      <c r="H21" s="448">
        <v>0</v>
      </c>
      <c r="I21" s="448">
        <v>0</v>
      </c>
      <c r="J21" s="448">
        <v>0</v>
      </c>
      <c r="K21" s="448">
        <v>0</v>
      </c>
      <c r="L21" s="448">
        <v>0</v>
      </c>
      <c r="M21" s="448">
        <v>0</v>
      </c>
      <c r="N21" s="448">
        <v>0</v>
      </c>
      <c r="O21" s="448">
        <v>0</v>
      </c>
      <c r="P21" s="448">
        <v>0</v>
      </c>
      <c r="Q21" s="448">
        <v>0</v>
      </c>
      <c r="R21" s="448">
        <v>0</v>
      </c>
      <c r="S21" s="450"/>
      <c r="T21" s="718">
        <v>0</v>
      </c>
    </row>
    <row r="22" spans="1:22" x14ac:dyDescent="0.3">
      <c r="A22" s="454" t="s">
        <v>59</v>
      </c>
      <c r="B22" s="455" t="s">
        <v>822</v>
      </c>
      <c r="C22" s="433">
        <v>8000</v>
      </c>
      <c r="D22" s="434">
        <v>8000</v>
      </c>
      <c r="E22" s="447">
        <v>6296</v>
      </c>
      <c r="F22" s="434">
        <v>7000</v>
      </c>
      <c r="G22" s="434"/>
      <c r="H22" s="448">
        <v>635</v>
      </c>
      <c r="I22" s="448">
        <v>1292</v>
      </c>
      <c r="J22" s="448">
        <v>2037</v>
      </c>
      <c r="K22" s="448">
        <v>2490</v>
      </c>
      <c r="L22" s="448">
        <v>3020</v>
      </c>
      <c r="M22" s="448">
        <v>3455</v>
      </c>
      <c r="N22" s="448">
        <v>3499.8</v>
      </c>
      <c r="O22" s="448">
        <v>4341.55</v>
      </c>
      <c r="P22" s="448">
        <v>5027.55</v>
      </c>
      <c r="Q22" s="448">
        <v>5399.55</v>
      </c>
      <c r="R22" s="448">
        <v>5621.55</v>
      </c>
      <c r="S22" s="450"/>
      <c r="T22" s="718">
        <v>6229.55</v>
      </c>
    </row>
    <row r="23" spans="1:22" x14ac:dyDescent="0.3">
      <c r="A23" s="456"/>
      <c r="B23" s="457" t="s">
        <v>823</v>
      </c>
      <c r="C23" s="458">
        <f>SUM(C7:C22)</f>
        <v>72000</v>
      </c>
      <c r="D23" s="459">
        <f>SUM(D7:D22)</f>
        <v>74000</v>
      </c>
      <c r="E23" s="460">
        <f t="shared" ref="E23:S23" si="0">SUM(E7:E22)</f>
        <v>76703.97</v>
      </c>
      <c r="F23" s="459">
        <f t="shared" si="0"/>
        <v>125000</v>
      </c>
      <c r="G23" s="459">
        <f>SUM(G7:G22)</f>
        <v>0</v>
      </c>
      <c r="H23" s="461">
        <f t="shared" si="0"/>
        <v>3355</v>
      </c>
      <c r="I23" s="461">
        <f t="shared" si="0"/>
        <v>10063</v>
      </c>
      <c r="J23" s="461">
        <f t="shared" si="0"/>
        <v>17688</v>
      </c>
      <c r="K23" s="461">
        <f t="shared" si="0"/>
        <v>40315</v>
      </c>
      <c r="L23" s="461">
        <f t="shared" si="0"/>
        <v>53615</v>
      </c>
      <c r="M23" s="461">
        <f t="shared" si="0"/>
        <v>54335</v>
      </c>
      <c r="N23" s="461">
        <f t="shared" si="0"/>
        <v>54634.8</v>
      </c>
      <c r="O23" s="461">
        <f t="shared" si="0"/>
        <v>57451.55</v>
      </c>
      <c r="P23" s="461">
        <f t="shared" si="0"/>
        <v>64983.55</v>
      </c>
      <c r="Q23" s="461">
        <f t="shared" si="0"/>
        <v>75934.55</v>
      </c>
      <c r="R23" s="461">
        <f t="shared" si="0"/>
        <v>89017.55</v>
      </c>
      <c r="S23" s="461">
        <f t="shared" si="0"/>
        <v>0</v>
      </c>
      <c r="T23" s="719">
        <f>SUM(T7:T22)</f>
        <v>101836.55</v>
      </c>
    </row>
    <row r="24" spans="1:22" x14ac:dyDescent="0.3">
      <c r="A24" s="431" t="s">
        <v>824</v>
      </c>
      <c r="B24" s="432" t="s">
        <v>14</v>
      </c>
      <c r="C24" s="462">
        <v>1221000</v>
      </c>
      <c r="D24" s="463">
        <v>1180000</v>
      </c>
      <c r="E24" s="464">
        <v>1136728.4099999999</v>
      </c>
      <c r="F24" s="463">
        <v>560000</v>
      </c>
      <c r="G24" s="463"/>
      <c r="H24" s="448">
        <v>764.98</v>
      </c>
      <c r="I24" s="448">
        <v>1196.1500000000001</v>
      </c>
      <c r="J24" s="448">
        <v>2802.21</v>
      </c>
      <c r="K24" s="465">
        <v>2901.21</v>
      </c>
      <c r="L24" s="465">
        <v>3865.46</v>
      </c>
      <c r="M24" s="466">
        <v>25924.46</v>
      </c>
      <c r="N24" s="466">
        <v>25924.46</v>
      </c>
      <c r="O24" s="465">
        <v>278895.26</v>
      </c>
      <c r="P24" s="466">
        <v>490566.36</v>
      </c>
      <c r="Q24" s="466">
        <v>531850.54</v>
      </c>
      <c r="R24" s="465">
        <v>540330.5</v>
      </c>
      <c r="S24" s="465"/>
      <c r="T24" s="720">
        <v>578722.64</v>
      </c>
    </row>
    <row r="25" spans="1:22" x14ac:dyDescent="0.3">
      <c r="A25" s="431" t="s">
        <v>97</v>
      </c>
      <c r="B25" s="432" t="s">
        <v>825</v>
      </c>
      <c r="C25" s="467">
        <v>0</v>
      </c>
      <c r="D25" s="468">
        <v>0</v>
      </c>
      <c r="E25" s="469">
        <v>0</v>
      </c>
      <c r="F25" s="468">
        <v>0</v>
      </c>
      <c r="G25" s="468"/>
      <c r="H25" s="448">
        <v>0</v>
      </c>
      <c r="I25" s="448">
        <v>0</v>
      </c>
      <c r="J25" s="448">
        <v>0</v>
      </c>
      <c r="K25" s="448">
        <v>0</v>
      </c>
      <c r="L25" s="448">
        <v>0</v>
      </c>
      <c r="M25" s="448">
        <v>0</v>
      </c>
      <c r="N25" s="448">
        <v>0</v>
      </c>
      <c r="O25" s="448">
        <v>0</v>
      </c>
      <c r="P25" s="448">
        <v>0</v>
      </c>
      <c r="Q25" s="448">
        <v>0</v>
      </c>
      <c r="R25" s="448">
        <v>0</v>
      </c>
      <c r="S25" s="448"/>
      <c r="T25" s="721">
        <v>0</v>
      </c>
    </row>
    <row r="26" spans="1:22" x14ac:dyDescent="0.3">
      <c r="A26" s="431" t="s">
        <v>102</v>
      </c>
      <c r="B26" s="432" t="s">
        <v>826</v>
      </c>
      <c r="C26" s="467">
        <v>0</v>
      </c>
      <c r="D26" s="468">
        <v>0</v>
      </c>
      <c r="E26" s="469">
        <v>0</v>
      </c>
      <c r="F26" s="468">
        <v>195000</v>
      </c>
      <c r="G26" s="468"/>
      <c r="H26" s="448">
        <v>0</v>
      </c>
      <c r="I26" s="448">
        <v>0</v>
      </c>
      <c r="J26" s="448">
        <v>0</v>
      </c>
      <c r="K26" s="448">
        <v>0</v>
      </c>
      <c r="L26" s="448">
        <v>0</v>
      </c>
      <c r="M26" s="448">
        <v>0</v>
      </c>
      <c r="N26" s="448">
        <v>0</v>
      </c>
      <c r="O26" s="448">
        <v>0</v>
      </c>
      <c r="P26" s="448">
        <v>0</v>
      </c>
      <c r="Q26" s="448">
        <v>0</v>
      </c>
      <c r="R26" s="448">
        <v>0</v>
      </c>
      <c r="S26" s="448"/>
      <c r="T26" s="721">
        <v>195000</v>
      </c>
    </row>
    <row r="27" spans="1:22" x14ac:dyDescent="0.3">
      <c r="A27" s="431" t="s">
        <v>106</v>
      </c>
      <c r="B27" s="432" t="s">
        <v>827</v>
      </c>
      <c r="C27" s="470">
        <v>800000</v>
      </c>
      <c r="D27" s="471">
        <v>800000</v>
      </c>
      <c r="E27" s="472">
        <v>807186.09</v>
      </c>
      <c r="F27" s="471">
        <v>600000</v>
      </c>
      <c r="G27" s="471"/>
      <c r="H27" s="465">
        <v>625360.34</v>
      </c>
      <c r="I27" s="465">
        <v>625360.34</v>
      </c>
      <c r="J27" s="465">
        <v>625360.34</v>
      </c>
      <c r="K27" s="465">
        <v>625360.34</v>
      </c>
      <c r="L27" s="465">
        <v>625360.34</v>
      </c>
      <c r="M27" s="465">
        <v>625360.34</v>
      </c>
      <c r="N27" s="465">
        <v>625360.34</v>
      </c>
      <c r="O27" s="465">
        <v>625360.34</v>
      </c>
      <c r="P27" s="465">
        <v>625360.34</v>
      </c>
      <c r="Q27" s="465">
        <v>625360.34</v>
      </c>
      <c r="R27" s="465">
        <v>625360.34</v>
      </c>
      <c r="S27" s="465"/>
      <c r="T27" s="722">
        <v>625360.34</v>
      </c>
    </row>
    <row r="28" spans="1:22" x14ac:dyDescent="0.3">
      <c r="A28" s="456"/>
      <c r="B28" s="457" t="s">
        <v>828</v>
      </c>
      <c r="C28" s="458">
        <f t="shared" ref="C28:S28" si="1">SUM(C24:C27)</f>
        <v>2021000</v>
      </c>
      <c r="D28" s="459">
        <f t="shared" si="1"/>
        <v>1980000</v>
      </c>
      <c r="E28" s="460">
        <f t="shared" si="1"/>
        <v>1943914.5</v>
      </c>
      <c r="F28" s="459">
        <f t="shared" si="1"/>
        <v>1355000</v>
      </c>
      <c r="G28" s="459">
        <f t="shared" si="1"/>
        <v>0</v>
      </c>
      <c r="H28" s="473">
        <f t="shared" si="1"/>
        <v>626125.31999999995</v>
      </c>
      <c r="I28" s="473">
        <f t="shared" si="1"/>
        <v>626556.49</v>
      </c>
      <c r="J28" s="473">
        <f t="shared" si="1"/>
        <v>628162.54999999993</v>
      </c>
      <c r="K28" s="473">
        <f t="shared" si="1"/>
        <v>628261.54999999993</v>
      </c>
      <c r="L28" s="474">
        <f t="shared" si="1"/>
        <v>629225.79999999993</v>
      </c>
      <c r="M28" s="474">
        <f t="shared" si="1"/>
        <v>651284.79999999993</v>
      </c>
      <c r="N28" s="474">
        <f t="shared" si="1"/>
        <v>651284.79999999993</v>
      </c>
      <c r="O28" s="473">
        <f t="shared" si="1"/>
        <v>904255.6</v>
      </c>
      <c r="P28" s="475">
        <f t="shared" si="1"/>
        <v>1115926.7</v>
      </c>
      <c r="Q28" s="475">
        <f t="shared" si="1"/>
        <v>1157210.8799999999</v>
      </c>
      <c r="R28" s="475">
        <f t="shared" si="1"/>
        <v>1165690.8399999999</v>
      </c>
      <c r="S28" s="474">
        <f t="shared" si="1"/>
        <v>0</v>
      </c>
      <c r="T28" s="723">
        <f>SUM(T24:T27)</f>
        <v>1399082.98</v>
      </c>
    </row>
    <row r="29" spans="1:22" x14ac:dyDescent="0.3">
      <c r="A29" s="432"/>
      <c r="B29" s="476"/>
      <c r="C29" s="467"/>
      <c r="D29" s="468"/>
      <c r="E29" s="477"/>
      <c r="F29" s="468"/>
      <c r="G29" s="468"/>
      <c r="H29" s="478"/>
      <c r="I29" s="478"/>
      <c r="J29" s="478"/>
      <c r="K29" s="478"/>
      <c r="L29" s="478"/>
      <c r="M29" s="479"/>
      <c r="N29" s="479"/>
      <c r="O29" s="479"/>
      <c r="P29" s="478"/>
      <c r="Q29" s="478"/>
      <c r="R29" s="478"/>
      <c r="S29" s="478"/>
      <c r="T29" s="724"/>
    </row>
    <row r="30" spans="1:22" x14ac:dyDescent="0.3">
      <c r="A30" s="456"/>
      <c r="B30" s="457" t="s">
        <v>829</v>
      </c>
      <c r="C30" s="480">
        <f t="shared" ref="C30:T30" si="2">C23+C28</f>
        <v>2093000</v>
      </c>
      <c r="D30" s="481">
        <f t="shared" si="2"/>
        <v>2054000</v>
      </c>
      <c r="E30" s="482">
        <f t="shared" si="2"/>
        <v>2020618.47</v>
      </c>
      <c r="F30" s="481">
        <f t="shared" si="2"/>
        <v>1480000</v>
      </c>
      <c r="G30" s="481">
        <f t="shared" si="2"/>
        <v>0</v>
      </c>
      <c r="H30" s="483">
        <f t="shared" si="2"/>
        <v>629480.31999999995</v>
      </c>
      <c r="I30" s="483">
        <f t="shared" si="2"/>
        <v>636619.49</v>
      </c>
      <c r="J30" s="483">
        <f t="shared" si="2"/>
        <v>645850.54999999993</v>
      </c>
      <c r="K30" s="483">
        <f t="shared" si="2"/>
        <v>668576.54999999993</v>
      </c>
      <c r="L30" s="484">
        <f t="shared" si="2"/>
        <v>682840.79999999993</v>
      </c>
      <c r="M30" s="483">
        <f t="shared" si="2"/>
        <v>705619.79999999993</v>
      </c>
      <c r="N30" s="483">
        <f t="shared" si="2"/>
        <v>705919.6</v>
      </c>
      <c r="O30" s="483">
        <f t="shared" si="2"/>
        <v>961707.15</v>
      </c>
      <c r="P30" s="485">
        <f t="shared" si="2"/>
        <v>1180910.25</v>
      </c>
      <c r="Q30" s="485">
        <f t="shared" si="2"/>
        <v>1233145.43</v>
      </c>
      <c r="R30" s="485">
        <f t="shared" si="2"/>
        <v>1254708.3899999999</v>
      </c>
      <c r="S30" s="484">
        <f t="shared" si="2"/>
        <v>0</v>
      </c>
      <c r="T30" s="725">
        <f t="shared" si="2"/>
        <v>1500919.53</v>
      </c>
    </row>
    <row r="31" spans="1:22" x14ac:dyDescent="0.3">
      <c r="A31" s="486" t="s">
        <v>119</v>
      </c>
      <c r="B31" s="488"/>
      <c r="C31" s="489"/>
      <c r="D31" s="490"/>
      <c r="E31" s="491"/>
      <c r="F31" s="490"/>
      <c r="G31" s="490"/>
      <c r="H31" s="492"/>
      <c r="I31" s="492"/>
      <c r="J31" s="492"/>
      <c r="K31" s="492"/>
      <c r="L31" s="492"/>
      <c r="M31" s="492"/>
      <c r="N31" s="492"/>
      <c r="O31" s="492"/>
      <c r="P31" s="492"/>
      <c r="Q31" s="492"/>
      <c r="R31" s="492"/>
      <c r="S31" s="492"/>
      <c r="T31" s="726"/>
    </row>
    <row r="32" spans="1:22" x14ac:dyDescent="0.3">
      <c r="A32" s="539" t="s">
        <v>124</v>
      </c>
      <c r="B32" s="540" t="s">
        <v>830</v>
      </c>
      <c r="C32" s="541">
        <v>25000</v>
      </c>
      <c r="D32" s="542">
        <v>25000</v>
      </c>
      <c r="E32" s="543">
        <v>24850</v>
      </c>
      <c r="F32" s="542">
        <v>25000</v>
      </c>
      <c r="G32" s="496"/>
      <c r="H32" s="498">
        <v>2100</v>
      </c>
      <c r="I32" s="498">
        <v>3850</v>
      </c>
      <c r="J32" s="498">
        <v>5950</v>
      </c>
      <c r="K32" s="498">
        <v>7875</v>
      </c>
      <c r="L32" s="498">
        <v>10150</v>
      </c>
      <c r="M32" s="498">
        <v>12250</v>
      </c>
      <c r="N32" s="498">
        <v>13125</v>
      </c>
      <c r="O32" s="498">
        <v>15400</v>
      </c>
      <c r="P32" s="498">
        <v>17675</v>
      </c>
      <c r="Q32" s="498">
        <v>19950</v>
      </c>
      <c r="R32" s="498">
        <v>22225</v>
      </c>
      <c r="S32" s="498"/>
      <c r="T32" s="727">
        <v>26775</v>
      </c>
      <c r="U32" s="395" t="s">
        <v>536</v>
      </c>
      <c r="V32" s="419" t="s">
        <v>1292</v>
      </c>
    </row>
    <row r="33" spans="1:25" x14ac:dyDescent="0.3">
      <c r="A33" s="539" t="s">
        <v>125</v>
      </c>
      <c r="B33" s="742" t="s">
        <v>831</v>
      </c>
      <c r="C33" s="541">
        <v>32000</v>
      </c>
      <c r="D33" s="542">
        <v>32000</v>
      </c>
      <c r="E33" s="615">
        <v>21805</v>
      </c>
      <c r="F33" s="542">
        <v>30000</v>
      </c>
      <c r="G33" s="496"/>
      <c r="H33" s="498">
        <v>1380</v>
      </c>
      <c r="I33" s="498">
        <v>4095</v>
      </c>
      <c r="J33" s="498">
        <v>5450</v>
      </c>
      <c r="K33" s="498">
        <v>6250</v>
      </c>
      <c r="L33" s="498">
        <v>8220</v>
      </c>
      <c r="M33" s="498">
        <v>9260</v>
      </c>
      <c r="N33" s="498">
        <v>9415</v>
      </c>
      <c r="O33" s="498">
        <v>10555</v>
      </c>
      <c r="P33" s="500">
        <v>11395</v>
      </c>
      <c r="Q33" s="500">
        <v>12970</v>
      </c>
      <c r="R33" s="500">
        <v>13890</v>
      </c>
      <c r="S33" s="500"/>
      <c r="T33" s="728">
        <v>15180</v>
      </c>
      <c r="U33" s="395">
        <f>F33*0.4</f>
        <v>12000</v>
      </c>
      <c r="V33" s="616">
        <f>F33*0.6</f>
        <v>18000</v>
      </c>
      <c r="W33" s="395">
        <f>SUM(U33:V33)</f>
        <v>30000</v>
      </c>
      <c r="Y33" s="567">
        <f>T33+T36</f>
        <v>25945</v>
      </c>
    </row>
    <row r="34" spans="1:25" x14ac:dyDescent="0.3">
      <c r="A34" s="539" t="s">
        <v>126</v>
      </c>
      <c r="B34" s="742" t="s">
        <v>832</v>
      </c>
      <c r="C34" s="541">
        <v>25000</v>
      </c>
      <c r="D34" s="542">
        <v>25000</v>
      </c>
      <c r="E34" s="615">
        <v>20630</v>
      </c>
      <c r="F34" s="542">
        <v>25000</v>
      </c>
      <c r="G34" s="496"/>
      <c r="H34" s="498">
        <v>1300</v>
      </c>
      <c r="I34" s="498">
        <v>3100</v>
      </c>
      <c r="J34" s="498">
        <v>5050</v>
      </c>
      <c r="K34" s="498">
        <v>8340</v>
      </c>
      <c r="L34" s="498">
        <v>10030</v>
      </c>
      <c r="M34" s="498">
        <v>11550</v>
      </c>
      <c r="N34" s="498">
        <v>11590</v>
      </c>
      <c r="O34" s="498">
        <v>12970</v>
      </c>
      <c r="P34" s="500">
        <v>14510</v>
      </c>
      <c r="Q34" s="500">
        <v>16950</v>
      </c>
      <c r="R34" s="500">
        <v>17880</v>
      </c>
      <c r="S34" s="500"/>
      <c r="T34" s="728">
        <v>19640</v>
      </c>
    </row>
    <row r="35" spans="1:25" x14ac:dyDescent="0.3">
      <c r="A35" s="539" t="s">
        <v>127</v>
      </c>
      <c r="B35" s="540" t="s">
        <v>833</v>
      </c>
      <c r="C35" s="495">
        <v>1000</v>
      </c>
      <c r="D35" s="496">
        <v>1000</v>
      </c>
      <c r="E35" s="499">
        <v>200</v>
      </c>
      <c r="F35" s="542">
        <v>500</v>
      </c>
      <c r="G35" s="496"/>
      <c r="H35" s="498">
        <v>0</v>
      </c>
      <c r="I35" s="498">
        <v>0</v>
      </c>
      <c r="J35" s="498">
        <v>80</v>
      </c>
      <c r="K35" s="498">
        <v>120</v>
      </c>
      <c r="L35" s="498">
        <v>120</v>
      </c>
      <c r="M35" s="498">
        <v>150</v>
      </c>
      <c r="N35" s="498">
        <v>150</v>
      </c>
      <c r="O35" s="498">
        <v>180</v>
      </c>
      <c r="P35" s="500">
        <v>180</v>
      </c>
      <c r="Q35" s="500">
        <v>180</v>
      </c>
      <c r="R35" s="500">
        <v>180</v>
      </c>
      <c r="S35" s="500"/>
      <c r="T35" s="728">
        <v>180</v>
      </c>
      <c r="Y35" s="567"/>
    </row>
    <row r="36" spans="1:25" x14ac:dyDescent="0.3">
      <c r="A36" s="539" t="s">
        <v>129</v>
      </c>
      <c r="B36" s="742" t="s">
        <v>834</v>
      </c>
      <c r="C36" s="541">
        <v>12000</v>
      </c>
      <c r="D36" s="542">
        <v>12000</v>
      </c>
      <c r="E36" s="615">
        <v>12125</v>
      </c>
      <c r="F36" s="542">
        <v>13500</v>
      </c>
      <c r="G36" s="496"/>
      <c r="H36" s="498">
        <v>945</v>
      </c>
      <c r="I36" s="498">
        <v>1905</v>
      </c>
      <c r="J36" s="498">
        <v>3275</v>
      </c>
      <c r="K36" s="498">
        <v>4295</v>
      </c>
      <c r="L36" s="498">
        <v>5580</v>
      </c>
      <c r="M36" s="498">
        <v>6080</v>
      </c>
      <c r="N36" s="498">
        <v>6080</v>
      </c>
      <c r="O36" s="498">
        <v>7110</v>
      </c>
      <c r="P36" s="500">
        <v>8140</v>
      </c>
      <c r="Q36" s="500">
        <v>8720</v>
      </c>
      <c r="R36" s="500">
        <v>9615</v>
      </c>
      <c r="S36" s="500"/>
      <c r="T36" s="728">
        <v>10765</v>
      </c>
      <c r="U36" s="395">
        <f>F36*0.4</f>
        <v>5400</v>
      </c>
      <c r="V36" s="616">
        <f>F36*0.6</f>
        <v>8100</v>
      </c>
      <c r="W36" s="395">
        <f>SUM(U36:V36)</f>
        <v>13500</v>
      </c>
      <c r="Y36" s="567"/>
    </row>
    <row r="37" spans="1:25" x14ac:dyDescent="0.3">
      <c r="A37" s="539" t="s">
        <v>835</v>
      </c>
      <c r="B37" s="540" t="s">
        <v>836</v>
      </c>
      <c r="C37" s="495">
        <v>500</v>
      </c>
      <c r="D37" s="496">
        <v>500</v>
      </c>
      <c r="E37" s="499">
        <v>0</v>
      </c>
      <c r="F37" s="542">
        <v>300</v>
      </c>
      <c r="G37" s="496"/>
      <c r="H37" s="498">
        <v>0</v>
      </c>
      <c r="I37" s="498">
        <v>0</v>
      </c>
      <c r="J37" s="498">
        <v>0</v>
      </c>
      <c r="K37" s="498">
        <v>0</v>
      </c>
      <c r="L37" s="498">
        <v>0</v>
      </c>
      <c r="M37" s="498">
        <v>0</v>
      </c>
      <c r="N37" s="498">
        <v>0</v>
      </c>
      <c r="O37" s="498">
        <v>0</v>
      </c>
      <c r="P37" s="500">
        <v>0</v>
      </c>
      <c r="Q37" s="500">
        <v>0</v>
      </c>
      <c r="R37" s="500">
        <v>0</v>
      </c>
      <c r="S37" s="500"/>
      <c r="T37" s="728">
        <v>0</v>
      </c>
      <c r="Y37" s="567"/>
    </row>
    <row r="38" spans="1:25" x14ac:dyDescent="0.3">
      <c r="A38" s="501" t="s">
        <v>837</v>
      </c>
      <c r="B38" s="502" t="s">
        <v>838</v>
      </c>
      <c r="C38" s="503"/>
      <c r="D38" s="504"/>
      <c r="E38" s="505"/>
      <c r="F38" s="504"/>
      <c r="G38" s="504"/>
      <c r="H38" s="506"/>
      <c r="I38" s="506"/>
      <c r="J38" s="506"/>
      <c r="K38" s="506"/>
      <c r="L38" s="506"/>
      <c r="M38" s="506"/>
      <c r="N38" s="506"/>
      <c r="O38" s="506"/>
      <c r="P38" s="507"/>
      <c r="Q38" s="507"/>
      <c r="R38" s="507"/>
      <c r="S38" s="507"/>
      <c r="T38" s="729"/>
    </row>
    <row r="39" spans="1:25" x14ac:dyDescent="0.3">
      <c r="A39" s="501" t="s">
        <v>839</v>
      </c>
      <c r="B39" s="502" t="s">
        <v>840</v>
      </c>
      <c r="C39" s="503"/>
      <c r="D39" s="504"/>
      <c r="E39" s="505"/>
      <c r="F39" s="504"/>
      <c r="G39" s="504"/>
      <c r="H39" s="506"/>
      <c r="I39" s="506"/>
      <c r="J39" s="506"/>
      <c r="K39" s="506"/>
      <c r="L39" s="506"/>
      <c r="M39" s="506"/>
      <c r="N39" s="506"/>
      <c r="O39" s="506"/>
      <c r="P39" s="507"/>
      <c r="Q39" s="507"/>
      <c r="R39" s="507"/>
      <c r="S39" s="507"/>
      <c r="T39" s="729"/>
      <c r="V39" s="568" t="s">
        <v>130</v>
      </c>
    </row>
    <row r="40" spans="1:25" x14ac:dyDescent="0.3">
      <c r="A40" s="539" t="s">
        <v>155</v>
      </c>
      <c r="B40" s="540" t="s">
        <v>841</v>
      </c>
      <c r="C40" s="541">
        <v>62000</v>
      </c>
      <c r="D40" s="542">
        <v>62000</v>
      </c>
      <c r="E40" s="615">
        <v>60739.199999999997</v>
      </c>
      <c r="F40" s="542">
        <v>63000</v>
      </c>
      <c r="G40" s="496"/>
      <c r="H40" s="498">
        <v>5286.6</v>
      </c>
      <c r="I40" s="498">
        <v>9673.2000000000007</v>
      </c>
      <c r="J40" s="498">
        <v>14927.4</v>
      </c>
      <c r="K40" s="498">
        <v>19747.8</v>
      </c>
      <c r="L40" s="498">
        <v>25435.8</v>
      </c>
      <c r="M40" s="498">
        <v>30690</v>
      </c>
      <c r="N40" s="498">
        <v>32859</v>
      </c>
      <c r="O40" s="498">
        <v>38547</v>
      </c>
      <c r="P40" s="500">
        <v>44235</v>
      </c>
      <c r="Q40" s="500">
        <v>49923</v>
      </c>
      <c r="R40" s="500">
        <v>55611</v>
      </c>
      <c r="S40" s="500"/>
      <c r="T40" s="727">
        <v>68187</v>
      </c>
      <c r="V40" s="616">
        <f>F35+F37+F151+F159+F169+F183</f>
        <v>1750</v>
      </c>
    </row>
    <row r="41" spans="1:25" x14ac:dyDescent="0.3">
      <c r="A41" s="539" t="s">
        <v>160</v>
      </c>
      <c r="B41" s="540" t="s">
        <v>842</v>
      </c>
      <c r="C41" s="541">
        <v>19000</v>
      </c>
      <c r="D41" s="542">
        <v>19000</v>
      </c>
      <c r="E41" s="618">
        <v>19048.830000000002</v>
      </c>
      <c r="F41" s="542">
        <v>19000</v>
      </c>
      <c r="G41" s="496"/>
      <c r="H41" s="498">
        <v>1639.5</v>
      </c>
      <c r="I41" s="498">
        <v>3153.4</v>
      </c>
      <c r="J41" s="498">
        <v>4983.3</v>
      </c>
      <c r="K41" s="498">
        <v>6799.81</v>
      </c>
      <c r="L41" s="498">
        <v>8616.32</v>
      </c>
      <c r="M41" s="498">
        <v>8616.32</v>
      </c>
      <c r="N41" s="498">
        <v>10432.83</v>
      </c>
      <c r="O41" s="498">
        <v>12249.34</v>
      </c>
      <c r="P41" s="500">
        <v>14065.85</v>
      </c>
      <c r="Q41" s="500">
        <v>15882.36</v>
      </c>
      <c r="R41" s="500">
        <v>17698.87</v>
      </c>
      <c r="S41" s="500"/>
      <c r="T41" s="727">
        <v>21331.89</v>
      </c>
    </row>
    <row r="42" spans="1:25" x14ac:dyDescent="0.3">
      <c r="A42" s="539" t="s">
        <v>843</v>
      </c>
      <c r="B42" s="540" t="s">
        <v>844</v>
      </c>
      <c r="C42" s="541">
        <v>500</v>
      </c>
      <c r="D42" s="542">
        <v>500</v>
      </c>
      <c r="E42" s="615">
        <v>0</v>
      </c>
      <c r="F42" s="542">
        <v>200</v>
      </c>
      <c r="G42" s="496"/>
      <c r="H42" s="498">
        <v>0</v>
      </c>
      <c r="I42" s="498">
        <v>0</v>
      </c>
      <c r="J42" s="498">
        <v>0</v>
      </c>
      <c r="K42" s="498">
        <v>0</v>
      </c>
      <c r="L42" s="498">
        <v>0</v>
      </c>
      <c r="M42" s="498">
        <v>0</v>
      </c>
      <c r="N42" s="498">
        <v>0</v>
      </c>
      <c r="O42" s="498">
        <v>0</v>
      </c>
      <c r="P42" s="500">
        <v>0</v>
      </c>
      <c r="Q42" s="500">
        <v>0</v>
      </c>
      <c r="R42" s="500">
        <v>0</v>
      </c>
      <c r="S42" s="500"/>
      <c r="T42" s="728">
        <v>0</v>
      </c>
    </row>
    <row r="43" spans="1:25" x14ac:dyDescent="0.3">
      <c r="A43" s="539" t="s">
        <v>163</v>
      </c>
      <c r="B43" s="540" t="s">
        <v>164</v>
      </c>
      <c r="C43" s="541">
        <v>164.27</v>
      </c>
      <c r="D43" s="542">
        <v>164.27</v>
      </c>
      <c r="E43" s="618">
        <v>182.57</v>
      </c>
      <c r="F43" s="542">
        <v>185</v>
      </c>
      <c r="G43" s="496"/>
      <c r="H43" s="498">
        <v>0</v>
      </c>
      <c r="I43" s="498">
        <v>0</v>
      </c>
      <c r="J43" s="498">
        <v>0</v>
      </c>
      <c r="K43" s="498">
        <v>0</v>
      </c>
      <c r="L43" s="498">
        <v>0</v>
      </c>
      <c r="M43" s="498">
        <v>0</v>
      </c>
      <c r="N43" s="498">
        <v>0</v>
      </c>
      <c r="O43" s="498">
        <v>0</v>
      </c>
      <c r="P43" s="508">
        <v>191.51</v>
      </c>
      <c r="Q43" s="508">
        <v>191.51</v>
      </c>
      <c r="R43" s="508">
        <v>191.51</v>
      </c>
      <c r="S43" s="508"/>
      <c r="T43" s="727">
        <v>191.51</v>
      </c>
    </row>
    <row r="44" spans="1:25" s="420" customFormat="1" x14ac:dyDescent="0.3">
      <c r="A44" s="501" t="s">
        <v>845</v>
      </c>
      <c r="B44" s="502" t="s">
        <v>846</v>
      </c>
      <c r="C44" s="503"/>
      <c r="D44" s="504"/>
      <c r="E44" s="509"/>
      <c r="F44" s="504"/>
      <c r="G44" s="504"/>
      <c r="H44" s="510"/>
      <c r="I44" s="510"/>
      <c r="J44" s="510"/>
      <c r="K44" s="510"/>
      <c r="L44" s="510"/>
      <c r="M44" s="510"/>
      <c r="N44" s="510"/>
      <c r="O44" s="510"/>
      <c r="P44" s="511"/>
      <c r="Q44" s="511"/>
      <c r="R44" s="511"/>
      <c r="S44" s="511"/>
      <c r="T44" s="730"/>
      <c r="U44" s="418"/>
      <c r="V44" s="419"/>
    </row>
    <row r="45" spans="1:25" x14ac:dyDescent="0.3">
      <c r="A45" s="539" t="s">
        <v>847</v>
      </c>
      <c r="B45" s="540" t="s">
        <v>587</v>
      </c>
      <c r="C45" s="495">
        <v>97500</v>
      </c>
      <c r="D45" s="496">
        <v>97500</v>
      </c>
      <c r="E45" s="499">
        <v>78185.06</v>
      </c>
      <c r="F45" s="542">
        <v>92500</v>
      </c>
      <c r="G45" s="496"/>
      <c r="H45" s="500">
        <v>6972.23</v>
      </c>
      <c r="I45" s="500">
        <v>17398.259999999998</v>
      </c>
      <c r="J45" s="500">
        <v>27026.49</v>
      </c>
      <c r="K45" s="500">
        <v>32549.82</v>
      </c>
      <c r="L45" s="500">
        <v>38243.58</v>
      </c>
      <c r="M45" s="500">
        <v>45588.08</v>
      </c>
      <c r="N45" s="500">
        <v>45588.08</v>
      </c>
      <c r="O45" s="500">
        <v>52928.85</v>
      </c>
      <c r="P45" s="500">
        <v>60269.62</v>
      </c>
      <c r="Q45" s="500">
        <v>67827.070000000007</v>
      </c>
      <c r="R45" s="500">
        <v>75046.95</v>
      </c>
      <c r="S45" s="500"/>
      <c r="T45" s="728">
        <v>90530.79</v>
      </c>
    </row>
    <row r="46" spans="1:25" x14ac:dyDescent="0.3">
      <c r="A46" s="539" t="s">
        <v>170</v>
      </c>
      <c r="B46" s="540" t="s">
        <v>848</v>
      </c>
      <c r="C46" s="541">
        <v>23000</v>
      </c>
      <c r="D46" s="542">
        <v>23000</v>
      </c>
      <c r="E46" s="615">
        <v>25732.16</v>
      </c>
      <c r="F46" s="542">
        <v>26000</v>
      </c>
      <c r="G46" s="496"/>
      <c r="H46" s="500">
        <v>1996.27</v>
      </c>
      <c r="I46" s="500">
        <v>3581.53</v>
      </c>
      <c r="J46" s="500">
        <v>7716.58</v>
      </c>
      <c r="K46" s="500">
        <v>9295.18</v>
      </c>
      <c r="L46" s="500">
        <v>9295.18</v>
      </c>
      <c r="M46" s="500">
        <v>12465.24</v>
      </c>
      <c r="N46" s="500">
        <v>12465.24</v>
      </c>
      <c r="O46" s="500">
        <v>14372.59</v>
      </c>
      <c r="P46" s="500">
        <v>16278.49</v>
      </c>
      <c r="Q46" s="500">
        <v>18184.39</v>
      </c>
      <c r="R46" s="500">
        <v>19873.61</v>
      </c>
      <c r="S46" s="508"/>
      <c r="T46" s="728">
        <v>20905.61</v>
      </c>
    </row>
    <row r="47" spans="1:25" x14ac:dyDescent="0.3">
      <c r="A47" s="539" t="s">
        <v>849</v>
      </c>
      <c r="B47" s="540" t="s">
        <v>590</v>
      </c>
      <c r="C47" s="541">
        <v>68500</v>
      </c>
      <c r="D47" s="542">
        <v>68500</v>
      </c>
      <c r="E47" s="615">
        <v>67516.55</v>
      </c>
      <c r="F47" s="542">
        <v>73000</v>
      </c>
      <c r="G47" s="496"/>
      <c r="H47" s="500">
        <v>4194.84</v>
      </c>
      <c r="I47" s="500">
        <v>12185.26</v>
      </c>
      <c r="J47" s="500">
        <v>17962.810000000001</v>
      </c>
      <c r="K47" s="500">
        <v>22065.68</v>
      </c>
      <c r="L47" s="500">
        <v>26270.98</v>
      </c>
      <c r="M47" s="500">
        <v>26270.98</v>
      </c>
      <c r="N47" s="500">
        <v>30476.28</v>
      </c>
      <c r="O47" s="500">
        <v>36874.9</v>
      </c>
      <c r="P47" s="500">
        <v>42042.84</v>
      </c>
      <c r="Q47" s="500">
        <v>47303.58</v>
      </c>
      <c r="R47" s="500">
        <v>52564.32</v>
      </c>
      <c r="S47" s="500"/>
      <c r="T47" s="728">
        <v>63085.8</v>
      </c>
    </row>
    <row r="48" spans="1:25" x14ac:dyDescent="0.3">
      <c r="A48" s="539" t="s">
        <v>175</v>
      </c>
      <c r="B48" s="540" t="s">
        <v>850</v>
      </c>
      <c r="C48" s="541">
        <v>13000</v>
      </c>
      <c r="D48" s="542">
        <v>13000</v>
      </c>
      <c r="E48" s="615">
        <v>12548.37</v>
      </c>
      <c r="F48" s="542">
        <v>14500</v>
      </c>
      <c r="G48" s="496"/>
      <c r="H48" s="500">
        <v>1005.11</v>
      </c>
      <c r="I48" s="500">
        <v>2741.92</v>
      </c>
      <c r="J48" s="500">
        <v>3797.69</v>
      </c>
      <c r="K48" s="500">
        <v>4560.5200000000004</v>
      </c>
      <c r="L48" s="500">
        <v>5342.03</v>
      </c>
      <c r="M48" s="500">
        <v>6330.49</v>
      </c>
      <c r="N48" s="500">
        <v>6330.49</v>
      </c>
      <c r="O48" s="500">
        <v>7318.95</v>
      </c>
      <c r="P48" s="500">
        <v>8307.41</v>
      </c>
      <c r="Q48" s="500">
        <v>9295.8700000000008</v>
      </c>
      <c r="R48" s="500">
        <v>10284.33</v>
      </c>
      <c r="S48" s="500"/>
      <c r="T48" s="728">
        <v>12261.25</v>
      </c>
    </row>
    <row r="49" spans="1:23" x14ac:dyDescent="0.3">
      <c r="A49" s="539" t="s">
        <v>851</v>
      </c>
      <c r="B49" s="540" t="s">
        <v>852</v>
      </c>
      <c r="C49" s="495">
        <v>400</v>
      </c>
      <c r="D49" s="496">
        <v>400</v>
      </c>
      <c r="E49" s="499">
        <v>0</v>
      </c>
      <c r="F49" s="542">
        <v>200</v>
      </c>
      <c r="G49" s="496"/>
      <c r="H49" s="500">
        <v>0</v>
      </c>
      <c r="I49" s="500">
        <v>0</v>
      </c>
      <c r="J49" s="500">
        <v>0</v>
      </c>
      <c r="K49" s="500">
        <v>0</v>
      </c>
      <c r="L49" s="500">
        <v>0</v>
      </c>
      <c r="M49" s="500">
        <v>0</v>
      </c>
      <c r="N49" s="500">
        <v>0</v>
      </c>
      <c r="O49" s="500">
        <v>0</v>
      </c>
      <c r="P49" s="500">
        <v>0</v>
      </c>
      <c r="Q49" s="500">
        <v>0</v>
      </c>
      <c r="R49" s="500">
        <v>0</v>
      </c>
      <c r="S49" s="500"/>
      <c r="T49" s="728">
        <v>0</v>
      </c>
      <c r="U49" s="395" t="s">
        <v>1293</v>
      </c>
      <c r="W49" s="567">
        <f>F49+F91+F92+F93</f>
        <v>600</v>
      </c>
    </row>
    <row r="50" spans="1:23" x14ac:dyDescent="0.3">
      <c r="A50" s="539" t="s">
        <v>178</v>
      </c>
      <c r="B50" s="540" t="s">
        <v>179</v>
      </c>
      <c r="C50" s="541">
        <v>600</v>
      </c>
      <c r="D50" s="542">
        <v>600</v>
      </c>
      <c r="E50" s="615">
        <v>473.67</v>
      </c>
      <c r="F50" s="542">
        <v>500</v>
      </c>
      <c r="G50" s="496"/>
      <c r="H50" s="500">
        <v>0</v>
      </c>
      <c r="I50" s="500">
        <v>0</v>
      </c>
      <c r="J50" s="500">
        <v>0</v>
      </c>
      <c r="K50" s="500">
        <v>0</v>
      </c>
      <c r="L50" s="500">
        <v>0</v>
      </c>
      <c r="M50" s="500">
        <v>0</v>
      </c>
      <c r="N50" s="500">
        <v>0</v>
      </c>
      <c r="O50" s="500">
        <v>0</v>
      </c>
      <c r="P50" s="500">
        <v>457.09</v>
      </c>
      <c r="Q50" s="500">
        <v>457.09</v>
      </c>
      <c r="R50" s="500">
        <v>457.09</v>
      </c>
      <c r="S50" s="500"/>
      <c r="T50" s="728">
        <v>457.09</v>
      </c>
    </row>
    <row r="51" spans="1:23" s="420" customFormat="1" x14ac:dyDescent="0.3">
      <c r="A51" s="501" t="s">
        <v>853</v>
      </c>
      <c r="B51" s="502" t="s">
        <v>854</v>
      </c>
      <c r="C51" s="503"/>
      <c r="D51" s="504"/>
      <c r="E51" s="509"/>
      <c r="F51" s="504"/>
      <c r="G51" s="504"/>
      <c r="H51" s="510"/>
      <c r="I51" s="510"/>
      <c r="J51" s="510"/>
      <c r="K51" s="510"/>
      <c r="L51" s="510"/>
      <c r="M51" s="510"/>
      <c r="N51" s="510"/>
      <c r="O51" s="510"/>
      <c r="P51" s="511"/>
      <c r="Q51" s="511"/>
      <c r="R51" s="511"/>
      <c r="S51" s="511"/>
      <c r="T51" s="730"/>
      <c r="U51" s="418"/>
      <c r="V51" s="419"/>
    </row>
    <row r="52" spans="1:23" x14ac:dyDescent="0.3">
      <c r="A52" s="539" t="s">
        <v>855</v>
      </c>
      <c r="B52" s="540" t="s">
        <v>856</v>
      </c>
      <c r="C52" s="495">
        <v>5400</v>
      </c>
      <c r="D52" s="496">
        <v>5400</v>
      </c>
      <c r="E52" s="499">
        <v>0</v>
      </c>
      <c r="F52" s="542">
        <v>0</v>
      </c>
      <c r="G52" s="496"/>
      <c r="H52" s="498">
        <v>0</v>
      </c>
      <c r="I52" s="498">
        <v>0</v>
      </c>
      <c r="J52" s="498">
        <v>0</v>
      </c>
      <c r="K52" s="498">
        <v>0</v>
      </c>
      <c r="L52" s="498">
        <v>0</v>
      </c>
      <c r="M52" s="498">
        <v>0</v>
      </c>
      <c r="N52" s="498">
        <v>0</v>
      </c>
      <c r="O52" s="498">
        <v>0</v>
      </c>
      <c r="P52" s="500">
        <v>0</v>
      </c>
      <c r="Q52" s="500">
        <v>0</v>
      </c>
      <c r="R52" s="500">
        <v>0</v>
      </c>
      <c r="S52" s="500"/>
      <c r="T52" s="728">
        <v>0</v>
      </c>
    </row>
    <row r="53" spans="1:23" x14ac:dyDescent="0.3">
      <c r="A53" s="539" t="s">
        <v>857</v>
      </c>
      <c r="B53" s="540" t="s">
        <v>158</v>
      </c>
      <c r="C53" s="541">
        <v>2160</v>
      </c>
      <c r="D53" s="542">
        <v>2160</v>
      </c>
      <c r="E53" s="615">
        <v>0</v>
      </c>
      <c r="F53" s="542">
        <v>0</v>
      </c>
      <c r="G53" s="496"/>
      <c r="H53" s="498">
        <v>0</v>
      </c>
      <c r="I53" s="498">
        <v>0</v>
      </c>
      <c r="J53" s="498">
        <v>0</v>
      </c>
      <c r="K53" s="498">
        <v>0</v>
      </c>
      <c r="L53" s="498">
        <v>0</v>
      </c>
      <c r="M53" s="498">
        <v>0</v>
      </c>
      <c r="N53" s="498">
        <v>0</v>
      </c>
      <c r="O53" s="498">
        <v>0</v>
      </c>
      <c r="P53" s="500">
        <v>0</v>
      </c>
      <c r="Q53" s="500">
        <v>0</v>
      </c>
      <c r="R53" s="500">
        <v>0</v>
      </c>
      <c r="S53" s="500"/>
      <c r="T53" s="728">
        <v>0</v>
      </c>
    </row>
    <row r="54" spans="1:23" x14ac:dyDescent="0.3">
      <c r="A54" s="512" t="s">
        <v>165</v>
      </c>
      <c r="B54" s="513" t="s">
        <v>858</v>
      </c>
      <c r="C54" s="503">
        <v>1500</v>
      </c>
      <c r="D54" s="504">
        <v>1500</v>
      </c>
      <c r="E54" s="505">
        <v>0</v>
      </c>
      <c r="F54" s="504">
        <v>0</v>
      </c>
      <c r="G54" s="504"/>
      <c r="H54" s="506">
        <v>0</v>
      </c>
      <c r="I54" s="506">
        <v>0</v>
      </c>
      <c r="J54" s="506">
        <v>0</v>
      </c>
      <c r="K54" s="506">
        <v>0</v>
      </c>
      <c r="L54" s="506">
        <v>0</v>
      </c>
      <c r="M54" s="506">
        <v>0</v>
      </c>
      <c r="N54" s="506">
        <v>0</v>
      </c>
      <c r="O54" s="506">
        <v>0</v>
      </c>
      <c r="P54" s="507">
        <v>0</v>
      </c>
      <c r="Q54" s="507">
        <v>0</v>
      </c>
      <c r="R54" s="507">
        <v>0</v>
      </c>
      <c r="S54" s="507"/>
      <c r="T54" s="729">
        <v>0</v>
      </c>
    </row>
    <row r="55" spans="1:23" x14ac:dyDescent="0.3">
      <c r="A55" s="514"/>
      <c r="B55" s="515" t="s">
        <v>859</v>
      </c>
      <c r="C55" s="489">
        <f t="shared" ref="C55:S55" si="3">SUM(C32:C54)</f>
        <v>389224.27</v>
      </c>
      <c r="D55" s="490">
        <f t="shared" si="3"/>
        <v>389224.27</v>
      </c>
      <c r="E55" s="516">
        <f t="shared" si="3"/>
        <v>344036.41</v>
      </c>
      <c r="F55" s="490">
        <f>SUM(F32:F54)</f>
        <v>383385</v>
      </c>
      <c r="G55" s="490">
        <f t="shared" si="3"/>
        <v>0</v>
      </c>
      <c r="H55" s="517">
        <f t="shared" si="3"/>
        <v>26819.550000000003</v>
      </c>
      <c r="I55" s="517">
        <f t="shared" si="3"/>
        <v>61683.57</v>
      </c>
      <c r="J55" s="517">
        <f t="shared" si="3"/>
        <v>96219.27</v>
      </c>
      <c r="K55" s="517">
        <f t="shared" si="3"/>
        <v>121898.80999999998</v>
      </c>
      <c r="L55" s="517">
        <f t="shared" si="3"/>
        <v>147303.89000000001</v>
      </c>
      <c r="M55" s="517">
        <f t="shared" si="3"/>
        <v>169251.11000000002</v>
      </c>
      <c r="N55" s="517">
        <f t="shared" si="3"/>
        <v>178511.91999999998</v>
      </c>
      <c r="O55" s="517">
        <f t="shared" si="3"/>
        <v>208506.63</v>
      </c>
      <c r="P55" s="517">
        <f t="shared" si="3"/>
        <v>237747.81</v>
      </c>
      <c r="Q55" s="517">
        <f t="shared" si="3"/>
        <v>267834.87000000005</v>
      </c>
      <c r="R55" s="517">
        <f t="shared" si="3"/>
        <v>295517.68000000005</v>
      </c>
      <c r="S55" s="517">
        <f t="shared" si="3"/>
        <v>0</v>
      </c>
      <c r="T55" s="731">
        <f>SUM(T32:T54)</f>
        <v>349490.94</v>
      </c>
    </row>
    <row r="56" spans="1:23" s="420" customFormat="1" x14ac:dyDescent="0.3">
      <c r="A56" s="501" t="s">
        <v>860</v>
      </c>
      <c r="B56" s="513" t="s">
        <v>861</v>
      </c>
      <c r="C56" s="503"/>
      <c r="D56" s="504"/>
      <c r="E56" s="518"/>
      <c r="F56" s="504"/>
      <c r="G56" s="504"/>
      <c r="H56" s="510"/>
      <c r="I56" s="510"/>
      <c r="J56" s="510"/>
      <c r="K56" s="510"/>
      <c r="L56" s="510"/>
      <c r="M56" s="510"/>
      <c r="N56" s="510"/>
      <c r="O56" s="510"/>
      <c r="P56" s="510"/>
      <c r="Q56" s="510"/>
      <c r="R56" s="510"/>
      <c r="S56" s="510"/>
      <c r="T56" s="732"/>
      <c r="U56" s="619" t="s">
        <v>197</v>
      </c>
      <c r="V56" s="419"/>
      <c r="W56" s="598">
        <f>F59+F61+F79+F80</f>
        <v>1610</v>
      </c>
    </row>
    <row r="57" spans="1:23" x14ac:dyDescent="0.3">
      <c r="A57" s="539" t="s">
        <v>196</v>
      </c>
      <c r="B57" s="540" t="s">
        <v>862</v>
      </c>
      <c r="C57" s="541">
        <v>1500</v>
      </c>
      <c r="D57" s="542">
        <v>1500</v>
      </c>
      <c r="E57" s="615">
        <v>156.78</v>
      </c>
      <c r="F57" s="542">
        <v>300</v>
      </c>
      <c r="G57" s="496"/>
      <c r="H57" s="498">
        <v>0</v>
      </c>
      <c r="I57" s="498">
        <v>59.68</v>
      </c>
      <c r="J57" s="500">
        <v>59.68</v>
      </c>
      <c r="K57" s="500">
        <v>66.66</v>
      </c>
      <c r="L57" s="500">
        <v>66.66</v>
      </c>
      <c r="M57" s="508">
        <v>311.39</v>
      </c>
      <c r="N57" s="508">
        <v>311.39</v>
      </c>
      <c r="O57" s="500">
        <v>73.260000000000005</v>
      </c>
      <c r="P57" s="500">
        <v>73.260000000000005</v>
      </c>
      <c r="Q57" s="500">
        <v>73.260000000000005</v>
      </c>
      <c r="R57" s="500">
        <v>73.260000000000005</v>
      </c>
      <c r="S57" s="500"/>
      <c r="T57" s="728">
        <v>73.260000000000005</v>
      </c>
      <c r="U57" s="395" t="s">
        <v>1294</v>
      </c>
      <c r="W57" s="567">
        <f>F57+F62</f>
        <v>550</v>
      </c>
    </row>
    <row r="58" spans="1:23" x14ac:dyDescent="0.3">
      <c r="A58" s="539" t="s">
        <v>205</v>
      </c>
      <c r="B58" s="540" t="s">
        <v>863</v>
      </c>
      <c r="C58" s="541">
        <v>600</v>
      </c>
      <c r="D58" s="542">
        <v>600</v>
      </c>
      <c r="E58" s="615">
        <v>598.79999999999995</v>
      </c>
      <c r="F58" s="542">
        <v>600</v>
      </c>
      <c r="G58" s="496"/>
      <c r="H58" s="498">
        <v>49.9</v>
      </c>
      <c r="I58" s="498">
        <v>99.8</v>
      </c>
      <c r="J58" s="500">
        <v>149.69999999999999</v>
      </c>
      <c r="K58" s="500">
        <v>211.3</v>
      </c>
      <c r="L58" s="500">
        <v>261.2</v>
      </c>
      <c r="M58" s="500">
        <v>261.2</v>
      </c>
      <c r="N58" s="500">
        <v>311.10000000000002</v>
      </c>
      <c r="O58" s="508">
        <v>817.01</v>
      </c>
      <c r="P58" s="508">
        <v>1122.75</v>
      </c>
      <c r="Q58" s="508">
        <v>1457.93</v>
      </c>
      <c r="R58" s="508">
        <v>1815.96</v>
      </c>
      <c r="S58" s="500"/>
      <c r="T58" s="727">
        <v>1915.76</v>
      </c>
    </row>
    <row r="59" spans="1:23" x14ac:dyDescent="0.3">
      <c r="A59" s="539" t="s">
        <v>864</v>
      </c>
      <c r="B59" s="540" t="s">
        <v>865</v>
      </c>
      <c r="C59" s="541">
        <v>75</v>
      </c>
      <c r="D59" s="542">
        <v>75</v>
      </c>
      <c r="E59" s="615">
        <v>69.959999999999994</v>
      </c>
      <c r="F59" s="542">
        <v>75</v>
      </c>
      <c r="G59" s="496"/>
      <c r="H59" s="498">
        <v>0</v>
      </c>
      <c r="I59" s="498">
        <v>18.940000000000001</v>
      </c>
      <c r="J59" s="500">
        <v>18.940000000000001</v>
      </c>
      <c r="K59" s="500">
        <v>18.940000000000001</v>
      </c>
      <c r="L59" s="500">
        <v>37.299999999999997</v>
      </c>
      <c r="M59" s="500">
        <v>37.299999999999997</v>
      </c>
      <c r="N59" s="500">
        <v>37.299999999999997</v>
      </c>
      <c r="O59" s="500">
        <v>37.299999999999997</v>
      </c>
      <c r="P59" s="500">
        <v>55.66</v>
      </c>
      <c r="Q59" s="500">
        <v>55.66</v>
      </c>
      <c r="R59" s="500">
        <v>55.66</v>
      </c>
      <c r="S59" s="500"/>
      <c r="T59" s="728">
        <v>74.02</v>
      </c>
    </row>
    <row r="60" spans="1:23" x14ac:dyDescent="0.3">
      <c r="A60" s="539" t="s">
        <v>866</v>
      </c>
      <c r="B60" s="540" t="s">
        <v>867</v>
      </c>
      <c r="C60" s="541">
        <v>300</v>
      </c>
      <c r="D60" s="542">
        <v>300</v>
      </c>
      <c r="E60" s="615">
        <v>0</v>
      </c>
      <c r="F60" s="542">
        <v>0</v>
      </c>
      <c r="G60" s="496"/>
      <c r="H60" s="498">
        <v>0</v>
      </c>
      <c r="I60" s="498">
        <v>0</v>
      </c>
      <c r="J60" s="500">
        <v>0</v>
      </c>
      <c r="K60" s="500">
        <v>0</v>
      </c>
      <c r="L60" s="500">
        <v>0</v>
      </c>
      <c r="M60" s="500">
        <v>0</v>
      </c>
      <c r="N60" s="500">
        <v>0</v>
      </c>
      <c r="O60" s="500">
        <v>0</v>
      </c>
      <c r="P60" s="500">
        <v>0</v>
      </c>
      <c r="Q60" s="500">
        <v>0</v>
      </c>
      <c r="R60" s="500">
        <v>0</v>
      </c>
      <c r="S60" s="500"/>
      <c r="T60" s="728">
        <v>0</v>
      </c>
    </row>
    <row r="61" spans="1:23" x14ac:dyDescent="0.3">
      <c r="A61" s="539" t="s">
        <v>868</v>
      </c>
      <c r="B61" s="540" t="s">
        <v>869</v>
      </c>
      <c r="C61" s="541">
        <v>1000</v>
      </c>
      <c r="D61" s="542">
        <v>1000</v>
      </c>
      <c r="E61" s="618">
        <v>1075.75</v>
      </c>
      <c r="F61" s="542">
        <v>1000</v>
      </c>
      <c r="G61" s="496"/>
      <c r="H61" s="498">
        <v>0</v>
      </c>
      <c r="I61" s="498">
        <v>0</v>
      </c>
      <c r="J61" s="500">
        <v>39</v>
      </c>
      <c r="K61" s="500">
        <v>46</v>
      </c>
      <c r="L61" s="500">
        <v>351.1</v>
      </c>
      <c r="M61" s="500">
        <v>351.1</v>
      </c>
      <c r="N61" s="500">
        <v>351.1</v>
      </c>
      <c r="O61" s="500">
        <v>351.1</v>
      </c>
      <c r="P61" s="500">
        <v>351.1</v>
      </c>
      <c r="Q61" s="500">
        <v>351.1</v>
      </c>
      <c r="R61" s="500">
        <v>388.44</v>
      </c>
      <c r="S61" s="508"/>
      <c r="T61" s="728">
        <v>388.44</v>
      </c>
    </row>
    <row r="62" spans="1:23" x14ac:dyDescent="0.3">
      <c r="A62" s="539" t="s">
        <v>870</v>
      </c>
      <c r="B62" s="540" t="s">
        <v>872</v>
      </c>
      <c r="C62" s="541">
        <v>1000</v>
      </c>
      <c r="D62" s="542">
        <v>1000</v>
      </c>
      <c r="E62" s="615">
        <v>166.74</v>
      </c>
      <c r="F62" s="542">
        <v>250</v>
      </c>
      <c r="G62" s="496"/>
      <c r="H62" s="498">
        <v>0</v>
      </c>
      <c r="I62" s="498">
        <v>41.95</v>
      </c>
      <c r="J62" s="500">
        <v>41.95</v>
      </c>
      <c r="K62" s="500">
        <v>110.8</v>
      </c>
      <c r="L62" s="500">
        <v>110.8</v>
      </c>
      <c r="M62" s="500">
        <v>152.75</v>
      </c>
      <c r="N62" s="500">
        <v>152.75</v>
      </c>
      <c r="O62" s="500">
        <v>152.75</v>
      </c>
      <c r="P62" s="500">
        <v>249.58</v>
      </c>
      <c r="Q62" s="500">
        <v>249.58</v>
      </c>
      <c r="R62" s="500">
        <v>249.58</v>
      </c>
      <c r="S62" s="500"/>
      <c r="T62" s="728">
        <v>249.58</v>
      </c>
    </row>
    <row r="63" spans="1:23" x14ac:dyDescent="0.3">
      <c r="A63" s="539" t="s">
        <v>873</v>
      </c>
      <c r="B63" s="540" t="s">
        <v>874</v>
      </c>
      <c r="C63" s="541">
        <v>300</v>
      </c>
      <c r="D63" s="542">
        <v>300</v>
      </c>
      <c r="E63" s="615">
        <v>0</v>
      </c>
      <c r="F63" s="542">
        <v>100</v>
      </c>
      <c r="G63" s="496"/>
      <c r="H63" s="498">
        <v>0</v>
      </c>
      <c r="I63" s="498">
        <v>0</v>
      </c>
      <c r="J63" s="500">
        <v>0</v>
      </c>
      <c r="K63" s="500">
        <v>0</v>
      </c>
      <c r="L63" s="500">
        <v>0</v>
      </c>
      <c r="M63" s="500">
        <v>0</v>
      </c>
      <c r="N63" s="500">
        <v>0</v>
      </c>
      <c r="O63" s="500">
        <v>0</v>
      </c>
      <c r="P63" s="500">
        <v>0</v>
      </c>
      <c r="Q63" s="500">
        <v>0</v>
      </c>
      <c r="R63" s="500">
        <v>0</v>
      </c>
      <c r="S63" s="500"/>
      <c r="T63" s="728">
        <v>0</v>
      </c>
    </row>
    <row r="64" spans="1:23" x14ac:dyDescent="0.3">
      <c r="A64" s="539" t="s">
        <v>202</v>
      </c>
      <c r="B64" s="540" t="s">
        <v>875</v>
      </c>
      <c r="C64" s="541">
        <v>600</v>
      </c>
      <c r="D64" s="542">
        <v>600</v>
      </c>
      <c r="E64" s="615">
        <v>275.14</v>
      </c>
      <c r="F64" s="542">
        <v>350</v>
      </c>
      <c r="G64" s="496"/>
      <c r="H64" s="498">
        <v>74</v>
      </c>
      <c r="I64" s="498">
        <v>74</v>
      </c>
      <c r="J64" s="500">
        <v>74</v>
      </c>
      <c r="K64" s="500">
        <v>85.2</v>
      </c>
      <c r="L64" s="500">
        <v>85.2</v>
      </c>
      <c r="M64" s="500">
        <v>332.2</v>
      </c>
      <c r="N64" s="500">
        <v>332.2</v>
      </c>
      <c r="O64" s="500">
        <v>332.2</v>
      </c>
      <c r="P64" s="500">
        <v>332.2</v>
      </c>
      <c r="Q64" s="500">
        <v>332.2</v>
      </c>
      <c r="R64" s="500">
        <v>332.2</v>
      </c>
      <c r="S64" s="500"/>
      <c r="T64" s="728">
        <v>332.2</v>
      </c>
    </row>
    <row r="65" spans="1:23" s="420" customFormat="1" x14ac:dyDescent="0.3">
      <c r="A65" s="501" t="s">
        <v>876</v>
      </c>
      <c r="B65" s="502" t="s">
        <v>877</v>
      </c>
      <c r="C65" s="503"/>
      <c r="D65" s="504"/>
      <c r="E65" s="505"/>
      <c r="F65" s="504"/>
      <c r="G65" s="504"/>
      <c r="H65" s="510"/>
      <c r="I65" s="510"/>
      <c r="J65" s="511"/>
      <c r="K65" s="511"/>
      <c r="L65" s="511"/>
      <c r="M65" s="511"/>
      <c r="N65" s="511"/>
      <c r="O65" s="511"/>
      <c r="P65" s="511"/>
      <c r="Q65" s="511"/>
      <c r="R65" s="507"/>
      <c r="S65" s="507"/>
      <c r="T65" s="729"/>
      <c r="U65" s="418"/>
      <c r="V65" s="419"/>
    </row>
    <row r="66" spans="1:23" x14ac:dyDescent="0.3">
      <c r="A66" s="539" t="s">
        <v>878</v>
      </c>
      <c r="B66" s="540" t="s">
        <v>879</v>
      </c>
      <c r="C66" s="541">
        <v>300</v>
      </c>
      <c r="D66" s="542">
        <v>300</v>
      </c>
      <c r="E66" s="615">
        <v>281.08</v>
      </c>
      <c r="F66" s="542">
        <v>300</v>
      </c>
      <c r="G66" s="496"/>
      <c r="H66" s="500">
        <v>16.079999999999998</v>
      </c>
      <c r="I66" s="500">
        <v>22.29</v>
      </c>
      <c r="J66" s="500">
        <v>38.49</v>
      </c>
      <c r="K66" s="500">
        <v>52.87</v>
      </c>
      <c r="L66" s="500">
        <v>94.52</v>
      </c>
      <c r="M66" s="500">
        <v>101.82</v>
      </c>
      <c r="N66" s="500">
        <v>101.82</v>
      </c>
      <c r="O66" s="500">
        <v>115.67</v>
      </c>
      <c r="P66" s="500">
        <v>122.63</v>
      </c>
      <c r="Q66" s="500">
        <v>139.04</v>
      </c>
      <c r="R66" s="500">
        <v>149.46</v>
      </c>
      <c r="S66" s="500"/>
      <c r="T66" s="728">
        <v>166.95</v>
      </c>
    </row>
    <row r="67" spans="1:23" x14ac:dyDescent="0.3">
      <c r="A67" s="539" t="s">
        <v>880</v>
      </c>
      <c r="B67" s="540" t="s">
        <v>881</v>
      </c>
      <c r="C67" s="541">
        <v>700</v>
      </c>
      <c r="D67" s="542">
        <v>700</v>
      </c>
      <c r="E67" s="615">
        <v>388.5</v>
      </c>
      <c r="F67" s="542">
        <v>400</v>
      </c>
      <c r="G67" s="496"/>
      <c r="H67" s="500">
        <v>29.74</v>
      </c>
      <c r="I67" s="500">
        <v>59.48</v>
      </c>
      <c r="J67" s="500">
        <v>89.22</v>
      </c>
      <c r="K67" s="500">
        <v>118.96</v>
      </c>
      <c r="L67" s="500">
        <v>148.69999999999999</v>
      </c>
      <c r="M67" s="500">
        <v>196.29</v>
      </c>
      <c r="N67" s="500">
        <v>196.29</v>
      </c>
      <c r="O67" s="500">
        <v>243.88</v>
      </c>
      <c r="P67" s="500">
        <v>291.47000000000003</v>
      </c>
      <c r="Q67" s="500">
        <v>339.06</v>
      </c>
      <c r="R67" s="500">
        <v>386.65</v>
      </c>
      <c r="S67" s="500"/>
      <c r="T67" s="727">
        <v>481.83</v>
      </c>
    </row>
    <row r="68" spans="1:23" x14ac:dyDescent="0.3">
      <c r="A68" s="539" t="s">
        <v>882</v>
      </c>
      <c r="B68" s="540" t="s">
        <v>883</v>
      </c>
      <c r="C68" s="541">
        <v>500</v>
      </c>
      <c r="D68" s="542">
        <v>500</v>
      </c>
      <c r="E68" s="615">
        <v>492.38</v>
      </c>
      <c r="F68" s="542">
        <v>500</v>
      </c>
      <c r="G68" s="496"/>
      <c r="H68" s="500">
        <v>80.72</v>
      </c>
      <c r="I68" s="500">
        <v>121.54</v>
      </c>
      <c r="J68" s="500">
        <v>150.47999999999999</v>
      </c>
      <c r="K68" s="500">
        <v>231.2</v>
      </c>
      <c r="L68" s="500">
        <v>260.14</v>
      </c>
      <c r="M68" s="500">
        <v>323.99</v>
      </c>
      <c r="N68" s="500">
        <v>345.8</v>
      </c>
      <c r="O68" s="500">
        <v>426.52</v>
      </c>
      <c r="P68" s="500">
        <v>455.46</v>
      </c>
      <c r="Q68" s="500">
        <v>499.28</v>
      </c>
      <c r="R68" s="508">
        <v>550.64</v>
      </c>
      <c r="S68" s="500"/>
      <c r="T68" s="727">
        <v>711.24</v>
      </c>
    </row>
    <row r="69" spans="1:23" x14ac:dyDescent="0.3">
      <c r="A69" s="539" t="s">
        <v>211</v>
      </c>
      <c r="B69" s="540" t="s">
        <v>884</v>
      </c>
      <c r="C69" s="541">
        <v>5000</v>
      </c>
      <c r="D69" s="542">
        <v>5000</v>
      </c>
      <c r="E69" s="618">
        <v>5031.4399999999996</v>
      </c>
      <c r="F69" s="542">
        <v>3500</v>
      </c>
      <c r="G69" s="496"/>
      <c r="H69" s="500">
        <v>74.78</v>
      </c>
      <c r="I69" s="500">
        <v>300.07</v>
      </c>
      <c r="J69" s="500">
        <v>525.36</v>
      </c>
      <c r="K69" s="500">
        <v>750.65</v>
      </c>
      <c r="L69" s="500">
        <v>975.94</v>
      </c>
      <c r="M69" s="500">
        <v>1201.23</v>
      </c>
      <c r="N69" s="500">
        <v>1201.23</v>
      </c>
      <c r="O69" s="500">
        <v>1426.52</v>
      </c>
      <c r="P69" s="500">
        <v>1651.81</v>
      </c>
      <c r="Q69" s="500">
        <v>1877.1</v>
      </c>
      <c r="R69" s="500">
        <v>2102.39</v>
      </c>
      <c r="S69" s="500"/>
      <c r="T69" s="728">
        <v>2552.9699999999998</v>
      </c>
    </row>
    <row r="70" spans="1:23" s="420" customFormat="1" x14ac:dyDescent="0.3">
      <c r="A70" s="501" t="s">
        <v>885</v>
      </c>
      <c r="B70" s="502" t="s">
        <v>886</v>
      </c>
      <c r="C70" s="503"/>
      <c r="D70" s="504"/>
      <c r="E70" s="505"/>
      <c r="F70" s="504"/>
      <c r="G70" s="504"/>
      <c r="H70" s="510"/>
      <c r="I70" s="510"/>
      <c r="J70" s="511"/>
      <c r="K70" s="511"/>
      <c r="L70" s="511"/>
      <c r="M70" s="511"/>
      <c r="N70" s="511"/>
      <c r="O70" s="511"/>
      <c r="P70" s="511"/>
      <c r="Q70" s="511"/>
      <c r="R70" s="507"/>
      <c r="S70" s="507"/>
      <c r="T70" s="729"/>
      <c r="U70" s="418"/>
      <c r="V70" s="419"/>
    </row>
    <row r="71" spans="1:23" x14ac:dyDescent="0.3">
      <c r="A71" s="539" t="s">
        <v>225</v>
      </c>
      <c r="B71" s="540" t="s">
        <v>887</v>
      </c>
      <c r="C71" s="541">
        <v>20000</v>
      </c>
      <c r="D71" s="542">
        <v>20000</v>
      </c>
      <c r="E71" s="615">
        <v>19341.61</v>
      </c>
      <c r="F71" s="542">
        <v>500</v>
      </c>
      <c r="G71" s="496"/>
      <c r="H71" s="498">
        <v>66.94</v>
      </c>
      <c r="I71" s="498">
        <v>66.94</v>
      </c>
      <c r="J71" s="500">
        <v>66.94</v>
      </c>
      <c r="K71" s="500">
        <v>66.94</v>
      </c>
      <c r="L71" s="508">
        <v>566.38</v>
      </c>
      <c r="M71" s="508">
        <v>566.38</v>
      </c>
      <c r="N71" s="508">
        <v>566.38</v>
      </c>
      <c r="O71" s="508">
        <v>848.29</v>
      </c>
      <c r="P71" s="508">
        <v>1095.5899999999999</v>
      </c>
      <c r="Q71" s="508">
        <v>1095.5899999999999</v>
      </c>
      <c r="R71" s="508">
        <v>1095.5899999999999</v>
      </c>
      <c r="S71" s="500"/>
      <c r="T71" s="728">
        <v>2053.25</v>
      </c>
    </row>
    <row r="72" spans="1:23" x14ac:dyDescent="0.3">
      <c r="A72" s="539" t="s">
        <v>888</v>
      </c>
      <c r="B72" s="540" t="s">
        <v>889</v>
      </c>
      <c r="C72" s="541">
        <v>2000</v>
      </c>
      <c r="D72" s="542">
        <v>2000</v>
      </c>
      <c r="E72" s="615">
        <v>51.85</v>
      </c>
      <c r="F72" s="542">
        <v>500</v>
      </c>
      <c r="G72" s="496"/>
      <c r="H72" s="498">
        <v>0</v>
      </c>
      <c r="I72" s="498">
        <v>0</v>
      </c>
      <c r="J72" s="500">
        <v>0</v>
      </c>
      <c r="K72" s="500">
        <v>0</v>
      </c>
      <c r="L72" s="500">
        <v>0</v>
      </c>
      <c r="M72" s="500">
        <v>0</v>
      </c>
      <c r="N72" s="500">
        <v>0</v>
      </c>
      <c r="O72" s="500">
        <v>0</v>
      </c>
      <c r="P72" s="500">
        <v>0</v>
      </c>
      <c r="Q72" s="500">
        <v>0</v>
      </c>
      <c r="R72" s="500">
        <v>0</v>
      </c>
      <c r="S72" s="500"/>
      <c r="T72" s="728">
        <v>0</v>
      </c>
    </row>
    <row r="73" spans="1:23" x14ac:dyDescent="0.3">
      <c r="A73" s="539" t="s">
        <v>890</v>
      </c>
      <c r="B73" s="540" t="s">
        <v>891</v>
      </c>
      <c r="C73" s="541">
        <v>1000</v>
      </c>
      <c r="D73" s="542">
        <v>1000</v>
      </c>
      <c r="E73" s="615">
        <v>554.65</v>
      </c>
      <c r="F73" s="542">
        <v>200</v>
      </c>
      <c r="G73" s="496"/>
      <c r="H73" s="498">
        <v>0</v>
      </c>
      <c r="I73" s="498">
        <v>0</v>
      </c>
      <c r="J73" s="500">
        <v>0</v>
      </c>
      <c r="K73" s="500">
        <v>0</v>
      </c>
      <c r="L73" s="500">
        <v>0</v>
      </c>
      <c r="M73" s="500">
        <v>0</v>
      </c>
      <c r="N73" s="500">
        <v>0</v>
      </c>
      <c r="O73" s="500">
        <v>0</v>
      </c>
      <c r="P73" s="500">
        <v>0</v>
      </c>
      <c r="Q73" s="500">
        <v>0</v>
      </c>
      <c r="R73" s="500">
        <v>0</v>
      </c>
      <c r="S73" s="500"/>
      <c r="T73" s="728">
        <v>0</v>
      </c>
    </row>
    <row r="74" spans="1:23" s="420" customFormat="1" x14ac:dyDescent="0.3">
      <c r="A74" s="501" t="s">
        <v>892</v>
      </c>
      <c r="B74" s="502" t="s">
        <v>893</v>
      </c>
      <c r="C74" s="503"/>
      <c r="D74" s="504"/>
      <c r="E74" s="505"/>
      <c r="F74" s="504"/>
      <c r="G74" s="504"/>
      <c r="H74" s="510"/>
      <c r="I74" s="510"/>
      <c r="J74" s="511"/>
      <c r="K74" s="511"/>
      <c r="L74" s="511"/>
      <c r="M74" s="511"/>
      <c r="N74" s="511"/>
      <c r="O74" s="511"/>
      <c r="P74" s="511"/>
      <c r="Q74" s="511"/>
      <c r="R74" s="507"/>
      <c r="S74" s="507"/>
      <c r="T74" s="729"/>
      <c r="U74" s="418"/>
      <c r="V74" s="419"/>
    </row>
    <row r="75" spans="1:23" x14ac:dyDescent="0.3">
      <c r="A75" s="539" t="s">
        <v>894</v>
      </c>
      <c r="B75" s="540" t="s">
        <v>895</v>
      </c>
      <c r="C75" s="541">
        <v>12000</v>
      </c>
      <c r="D75" s="542">
        <v>12000</v>
      </c>
      <c r="E75" s="618">
        <v>24638.14</v>
      </c>
      <c r="F75" s="542">
        <v>14000</v>
      </c>
      <c r="G75" s="496"/>
      <c r="H75" s="500">
        <v>918.81</v>
      </c>
      <c r="I75" s="500">
        <v>1868.56</v>
      </c>
      <c r="J75" s="500">
        <v>3096.77</v>
      </c>
      <c r="K75" s="500">
        <v>4015.58</v>
      </c>
      <c r="L75" s="500">
        <v>5058.1499999999996</v>
      </c>
      <c r="M75" s="500">
        <v>6159.63</v>
      </c>
      <c r="N75" s="500">
        <v>6159.63</v>
      </c>
      <c r="O75" s="500">
        <v>7780.54</v>
      </c>
      <c r="P75" s="500">
        <v>9061.11</v>
      </c>
      <c r="Q75" s="500">
        <v>10032.280000000001</v>
      </c>
      <c r="R75" s="500">
        <v>11371.76</v>
      </c>
      <c r="S75" s="508"/>
      <c r="T75" s="727">
        <v>14427.94</v>
      </c>
      <c r="U75" s="395">
        <f>F75*0.4+F68</f>
        <v>6100</v>
      </c>
      <c r="V75" s="616">
        <f>F75*0.6</f>
        <v>8400</v>
      </c>
      <c r="W75" s="395">
        <f>SUM(U75:V75)</f>
        <v>14500</v>
      </c>
    </row>
    <row r="76" spans="1:23" x14ac:dyDescent="0.3">
      <c r="A76" s="539" t="s">
        <v>228</v>
      </c>
      <c r="B76" s="540" t="s">
        <v>896</v>
      </c>
      <c r="C76" s="541">
        <v>600</v>
      </c>
      <c r="D76" s="542">
        <v>600</v>
      </c>
      <c r="E76" s="615">
        <v>166.74</v>
      </c>
      <c r="F76" s="542">
        <v>500</v>
      </c>
      <c r="G76" s="496"/>
      <c r="H76" s="500">
        <v>0</v>
      </c>
      <c r="I76" s="500">
        <v>41.95</v>
      </c>
      <c r="J76" s="500">
        <v>41.95</v>
      </c>
      <c r="K76" s="500">
        <v>41.95</v>
      </c>
      <c r="L76" s="500">
        <v>41.95</v>
      </c>
      <c r="M76" s="500">
        <v>83.9</v>
      </c>
      <c r="N76" s="500">
        <v>83.9</v>
      </c>
      <c r="O76" s="500">
        <v>83.9</v>
      </c>
      <c r="P76" s="500">
        <v>125.85</v>
      </c>
      <c r="Q76" s="500">
        <v>125.85</v>
      </c>
      <c r="R76" s="500">
        <v>125.85</v>
      </c>
      <c r="S76" s="500"/>
      <c r="T76" s="728">
        <v>125.85</v>
      </c>
    </row>
    <row r="77" spans="1:23" x14ac:dyDescent="0.3">
      <c r="A77" s="539" t="s">
        <v>897</v>
      </c>
      <c r="B77" s="540" t="s">
        <v>898</v>
      </c>
      <c r="C77" s="541">
        <v>2000</v>
      </c>
      <c r="D77" s="542">
        <v>2000</v>
      </c>
      <c r="E77" s="615">
        <v>402.72</v>
      </c>
      <c r="F77" s="542">
        <v>500</v>
      </c>
      <c r="G77" s="496"/>
      <c r="H77" s="500">
        <v>0</v>
      </c>
      <c r="I77" s="500">
        <v>0</v>
      </c>
      <c r="J77" s="500">
        <v>0</v>
      </c>
      <c r="K77" s="500">
        <v>33.82</v>
      </c>
      <c r="L77" s="500">
        <v>33.82</v>
      </c>
      <c r="M77" s="500">
        <v>120.12</v>
      </c>
      <c r="N77" s="500">
        <v>120.12</v>
      </c>
      <c r="O77" s="500">
        <v>143.80000000000001</v>
      </c>
      <c r="P77" s="500">
        <v>143.80000000000001</v>
      </c>
      <c r="Q77" s="500">
        <v>143.80000000000001</v>
      </c>
      <c r="R77" s="500">
        <v>143.80000000000001</v>
      </c>
      <c r="S77" s="500"/>
      <c r="T77" s="728">
        <v>207.16</v>
      </c>
    </row>
    <row r="78" spans="1:23" s="420" customFormat="1" x14ac:dyDescent="0.3">
      <c r="A78" s="501" t="s">
        <v>899</v>
      </c>
      <c r="B78" s="502" t="s">
        <v>900</v>
      </c>
      <c r="C78" s="503"/>
      <c r="D78" s="504"/>
      <c r="E78" s="505"/>
      <c r="F78" s="504"/>
      <c r="G78" s="504"/>
      <c r="H78" s="510"/>
      <c r="I78" s="510"/>
      <c r="J78" s="511"/>
      <c r="K78" s="511"/>
      <c r="L78" s="511"/>
      <c r="M78" s="511"/>
      <c r="N78" s="511"/>
      <c r="O78" s="511"/>
      <c r="P78" s="511"/>
      <c r="Q78" s="511"/>
      <c r="R78" s="507"/>
      <c r="S78" s="507"/>
      <c r="T78" s="729"/>
      <c r="U78" s="418"/>
      <c r="V78" s="419"/>
    </row>
    <row r="79" spans="1:23" x14ac:dyDescent="0.3">
      <c r="A79" s="539" t="s">
        <v>901</v>
      </c>
      <c r="B79" s="540" t="s">
        <v>902</v>
      </c>
      <c r="C79" s="541">
        <v>490.89</v>
      </c>
      <c r="D79" s="542">
        <v>490.89</v>
      </c>
      <c r="E79" s="615">
        <v>490.89</v>
      </c>
      <c r="F79" s="542">
        <v>500</v>
      </c>
      <c r="G79" s="496"/>
      <c r="H79" s="498">
        <v>0</v>
      </c>
      <c r="I79" s="498">
        <v>0</v>
      </c>
      <c r="J79" s="500">
        <v>490.89</v>
      </c>
      <c r="K79" s="500">
        <v>490.89</v>
      </c>
      <c r="L79" s="500">
        <v>490.89</v>
      </c>
      <c r="M79" s="500">
        <v>490.89</v>
      </c>
      <c r="N79" s="500">
        <v>490.89</v>
      </c>
      <c r="O79" s="500">
        <v>490.89</v>
      </c>
      <c r="P79" s="500">
        <v>490.89</v>
      </c>
      <c r="Q79" s="500">
        <v>490.89</v>
      </c>
      <c r="R79" s="500">
        <v>490.89</v>
      </c>
      <c r="S79" s="500"/>
      <c r="T79" s="728">
        <v>490.89</v>
      </c>
    </row>
    <row r="80" spans="1:23" x14ac:dyDescent="0.3">
      <c r="A80" s="539" t="s">
        <v>903</v>
      </c>
      <c r="B80" s="540" t="s">
        <v>904</v>
      </c>
      <c r="C80" s="541">
        <v>32.47</v>
      </c>
      <c r="D80" s="542">
        <v>32.47</v>
      </c>
      <c r="E80" s="615">
        <v>0</v>
      </c>
      <c r="F80" s="542">
        <v>35</v>
      </c>
      <c r="G80" s="496"/>
      <c r="H80" s="498">
        <v>0</v>
      </c>
      <c r="I80" s="498">
        <v>0</v>
      </c>
      <c r="J80" s="500">
        <v>0</v>
      </c>
      <c r="K80" s="500">
        <v>0</v>
      </c>
      <c r="L80" s="500">
        <v>0</v>
      </c>
      <c r="M80" s="500">
        <v>0</v>
      </c>
      <c r="N80" s="500">
        <v>0</v>
      </c>
      <c r="O80" s="500">
        <v>0</v>
      </c>
      <c r="P80" s="500">
        <v>0</v>
      </c>
      <c r="Q80" s="500">
        <v>0</v>
      </c>
      <c r="R80" s="500">
        <v>0</v>
      </c>
      <c r="S80" s="500"/>
      <c r="T80" s="728">
        <v>0</v>
      </c>
    </row>
    <row r="81" spans="1:24" s="420" customFormat="1" x14ac:dyDescent="0.3">
      <c r="A81" s="501" t="s">
        <v>905</v>
      </c>
      <c r="B81" s="502" t="s">
        <v>906</v>
      </c>
      <c r="C81" s="503"/>
      <c r="D81" s="504"/>
      <c r="E81" s="505"/>
      <c r="F81" s="504"/>
      <c r="G81" s="504"/>
      <c r="H81" s="510"/>
      <c r="I81" s="510"/>
      <c r="J81" s="511"/>
      <c r="K81" s="511"/>
      <c r="L81" s="511"/>
      <c r="M81" s="511"/>
      <c r="N81" s="511"/>
      <c r="O81" s="511"/>
      <c r="P81" s="511"/>
      <c r="Q81" s="511"/>
      <c r="R81" s="507"/>
      <c r="S81" s="507"/>
      <c r="T81" s="729"/>
      <c r="U81" s="418"/>
      <c r="V81" s="419"/>
    </row>
    <row r="82" spans="1:24" x14ac:dyDescent="0.3">
      <c r="A82" s="539" t="s">
        <v>183</v>
      </c>
      <c r="B82" s="540" t="s">
        <v>907</v>
      </c>
      <c r="C82" s="541">
        <v>1500</v>
      </c>
      <c r="D82" s="542">
        <v>1500</v>
      </c>
      <c r="E82" s="615">
        <v>0</v>
      </c>
      <c r="F82" s="542">
        <v>1500</v>
      </c>
      <c r="G82" s="496"/>
      <c r="H82" s="498">
        <v>0</v>
      </c>
      <c r="I82" s="498">
        <v>0</v>
      </c>
      <c r="J82" s="500">
        <v>0</v>
      </c>
      <c r="K82" s="500">
        <v>0</v>
      </c>
      <c r="L82" s="500">
        <v>0</v>
      </c>
      <c r="M82" s="500">
        <v>0</v>
      </c>
      <c r="N82" s="500">
        <v>0</v>
      </c>
      <c r="O82" s="500">
        <v>0</v>
      </c>
      <c r="P82" s="500">
        <v>0</v>
      </c>
      <c r="Q82" s="500">
        <v>0</v>
      </c>
      <c r="R82" s="500">
        <v>0</v>
      </c>
      <c r="S82" s="500"/>
      <c r="T82" s="728">
        <v>0</v>
      </c>
    </row>
    <row r="83" spans="1:24" x14ac:dyDescent="0.3">
      <c r="A83" s="539" t="s">
        <v>188</v>
      </c>
      <c r="B83" s="540" t="s">
        <v>908</v>
      </c>
      <c r="C83" s="541">
        <v>1500</v>
      </c>
      <c r="D83" s="542">
        <v>1500</v>
      </c>
      <c r="E83" s="615">
        <v>0</v>
      </c>
      <c r="F83" s="542">
        <v>1500</v>
      </c>
      <c r="G83" s="496"/>
      <c r="H83" s="498">
        <v>0</v>
      </c>
      <c r="I83" s="498">
        <v>0</v>
      </c>
      <c r="J83" s="500">
        <v>0</v>
      </c>
      <c r="K83" s="500">
        <v>0</v>
      </c>
      <c r="L83" s="500">
        <v>0</v>
      </c>
      <c r="M83" s="500">
        <v>0</v>
      </c>
      <c r="N83" s="500">
        <v>0</v>
      </c>
      <c r="O83" s="500">
        <v>0</v>
      </c>
      <c r="P83" s="500">
        <v>0</v>
      </c>
      <c r="Q83" s="500">
        <v>0</v>
      </c>
      <c r="R83" s="500">
        <v>0</v>
      </c>
      <c r="S83" s="500"/>
      <c r="T83" s="728">
        <v>0</v>
      </c>
    </row>
    <row r="84" spans="1:24" x14ac:dyDescent="0.3">
      <c r="A84" s="539" t="s">
        <v>186</v>
      </c>
      <c r="B84" s="540" t="s">
        <v>909</v>
      </c>
      <c r="C84" s="541">
        <v>1500</v>
      </c>
      <c r="D84" s="542">
        <v>1500</v>
      </c>
      <c r="E84" s="615">
        <v>0</v>
      </c>
      <c r="F84" s="542">
        <v>1000</v>
      </c>
      <c r="G84" s="496"/>
      <c r="H84" s="498">
        <v>0</v>
      </c>
      <c r="I84" s="498">
        <v>0</v>
      </c>
      <c r="J84" s="500">
        <v>0</v>
      </c>
      <c r="K84" s="500">
        <v>0</v>
      </c>
      <c r="L84" s="500">
        <v>149</v>
      </c>
      <c r="M84" s="500">
        <v>199</v>
      </c>
      <c r="N84" s="500">
        <v>199</v>
      </c>
      <c r="O84" s="500">
        <v>199</v>
      </c>
      <c r="P84" s="500">
        <v>199</v>
      </c>
      <c r="Q84" s="500">
        <v>199</v>
      </c>
      <c r="R84" s="500">
        <v>199</v>
      </c>
      <c r="S84" s="500"/>
      <c r="T84" s="728">
        <v>199</v>
      </c>
    </row>
    <row r="85" spans="1:24" s="420" customFormat="1" x14ac:dyDescent="0.3">
      <c r="A85" s="501" t="s">
        <v>910</v>
      </c>
      <c r="B85" s="502" t="s">
        <v>911</v>
      </c>
      <c r="C85" s="503"/>
      <c r="D85" s="504"/>
      <c r="E85" s="509"/>
      <c r="F85" s="504"/>
      <c r="G85" s="504"/>
      <c r="H85" s="510"/>
      <c r="I85" s="510"/>
      <c r="J85" s="511"/>
      <c r="K85" s="511"/>
      <c r="L85" s="511"/>
      <c r="M85" s="511"/>
      <c r="N85" s="511"/>
      <c r="O85" s="511"/>
      <c r="P85" s="511"/>
      <c r="Q85" s="511"/>
      <c r="R85" s="507"/>
      <c r="S85" s="511"/>
      <c r="T85" s="730"/>
      <c r="U85" s="418"/>
      <c r="V85" s="419"/>
    </row>
    <row r="86" spans="1:24" x14ac:dyDescent="0.3">
      <c r="A86" s="539" t="s">
        <v>912</v>
      </c>
      <c r="B86" s="540" t="s">
        <v>913</v>
      </c>
      <c r="C86" s="541">
        <v>25000</v>
      </c>
      <c r="D86" s="542">
        <v>15000</v>
      </c>
      <c r="E86" s="615">
        <v>5263.2</v>
      </c>
      <c r="F86" s="542">
        <v>10000</v>
      </c>
      <c r="G86" s="496"/>
      <c r="H86" s="498">
        <v>0</v>
      </c>
      <c r="I86" s="498">
        <v>0</v>
      </c>
      <c r="J86" s="500">
        <v>0</v>
      </c>
      <c r="K86" s="500">
        <v>0</v>
      </c>
      <c r="L86" s="500">
        <v>1951.6</v>
      </c>
      <c r="M86" s="500">
        <v>2195.5500000000002</v>
      </c>
      <c r="N86" s="500">
        <v>2195.5500000000002</v>
      </c>
      <c r="O86" s="500">
        <v>2814.35</v>
      </c>
      <c r="P86" s="500">
        <v>2814.35</v>
      </c>
      <c r="Q86" s="500">
        <v>2814.35</v>
      </c>
      <c r="R86" s="500">
        <v>3462.9</v>
      </c>
      <c r="S86" s="500"/>
      <c r="T86" s="728">
        <v>7761.38</v>
      </c>
    </row>
    <row r="87" spans="1:24" x14ac:dyDescent="0.3">
      <c r="A87" s="539" t="s">
        <v>411</v>
      </c>
      <c r="B87" s="540" t="s">
        <v>914</v>
      </c>
      <c r="C87" s="541">
        <v>4000</v>
      </c>
      <c r="D87" s="542">
        <v>4000</v>
      </c>
      <c r="E87" s="615">
        <v>4093.45</v>
      </c>
      <c r="F87" s="542">
        <v>5000</v>
      </c>
      <c r="G87" s="496"/>
      <c r="H87" s="498">
        <v>585.48</v>
      </c>
      <c r="I87" s="498">
        <v>585.48</v>
      </c>
      <c r="J87" s="500">
        <v>1026.97</v>
      </c>
      <c r="K87" s="500">
        <v>1362.85</v>
      </c>
      <c r="L87" s="500">
        <v>1663.92</v>
      </c>
      <c r="M87" s="500">
        <v>1937.03</v>
      </c>
      <c r="N87" s="500">
        <v>1937.03</v>
      </c>
      <c r="O87" s="500">
        <v>2226.1999999999998</v>
      </c>
      <c r="P87" s="500">
        <v>2499.31</v>
      </c>
      <c r="Q87" s="500">
        <v>2772.42</v>
      </c>
      <c r="R87" s="500">
        <v>3045.53</v>
      </c>
      <c r="S87" s="500"/>
      <c r="T87" s="728">
        <v>3663.15</v>
      </c>
    </row>
    <row r="88" spans="1:24" x14ac:dyDescent="0.3">
      <c r="A88" s="539" t="s">
        <v>414</v>
      </c>
      <c r="B88" s="540" t="s">
        <v>915</v>
      </c>
      <c r="C88" s="541">
        <v>1000</v>
      </c>
      <c r="D88" s="542">
        <v>1000</v>
      </c>
      <c r="E88" s="615">
        <v>0</v>
      </c>
      <c r="F88" s="542">
        <v>500</v>
      </c>
      <c r="G88" s="496"/>
      <c r="H88" s="498">
        <v>0</v>
      </c>
      <c r="I88" s="498">
        <v>0</v>
      </c>
      <c r="J88" s="500">
        <v>0</v>
      </c>
      <c r="K88" s="500">
        <v>0</v>
      </c>
      <c r="L88" s="500">
        <v>0</v>
      </c>
      <c r="M88" s="500">
        <v>0</v>
      </c>
      <c r="N88" s="500">
        <v>0</v>
      </c>
      <c r="O88" s="500">
        <v>0</v>
      </c>
      <c r="P88" s="500">
        <v>0</v>
      </c>
      <c r="Q88" s="500">
        <v>0</v>
      </c>
      <c r="R88" s="500">
        <v>0</v>
      </c>
      <c r="S88" s="500"/>
      <c r="T88" s="727">
        <v>1517.25</v>
      </c>
    </row>
    <row r="89" spans="1:24" s="420" customFormat="1" x14ac:dyDescent="0.3">
      <c r="A89" s="501" t="s">
        <v>916</v>
      </c>
      <c r="B89" s="502" t="s">
        <v>917</v>
      </c>
      <c r="C89" s="503"/>
      <c r="D89" s="504"/>
      <c r="E89" s="509"/>
      <c r="F89" s="504"/>
      <c r="G89" s="504"/>
      <c r="H89" s="510"/>
      <c r="I89" s="510"/>
      <c r="J89" s="511"/>
      <c r="K89" s="511"/>
      <c r="L89" s="511"/>
      <c r="M89" s="511"/>
      <c r="N89" s="511"/>
      <c r="O89" s="511"/>
      <c r="P89" s="511"/>
      <c r="Q89" s="511"/>
      <c r="R89" s="507"/>
      <c r="S89" s="511"/>
      <c r="T89" s="730"/>
      <c r="U89" s="418"/>
      <c r="V89" s="419"/>
    </row>
    <row r="90" spans="1:24" s="420" customFormat="1" x14ac:dyDescent="0.3">
      <c r="A90" s="501" t="s">
        <v>918</v>
      </c>
      <c r="B90" s="502" t="s">
        <v>919</v>
      </c>
      <c r="C90" s="503"/>
      <c r="D90" s="504"/>
      <c r="E90" s="509"/>
      <c r="F90" s="504"/>
      <c r="G90" s="504"/>
      <c r="H90" s="510"/>
      <c r="I90" s="510"/>
      <c r="J90" s="511"/>
      <c r="K90" s="511"/>
      <c r="L90" s="511"/>
      <c r="M90" s="511"/>
      <c r="N90" s="511"/>
      <c r="O90" s="511"/>
      <c r="P90" s="511"/>
      <c r="Q90" s="511"/>
      <c r="R90" s="507"/>
      <c r="S90" s="511"/>
      <c r="T90" s="730"/>
      <c r="U90" s="418"/>
      <c r="V90" s="419"/>
    </row>
    <row r="91" spans="1:24" x14ac:dyDescent="0.3">
      <c r="A91" s="539" t="s">
        <v>920</v>
      </c>
      <c r="B91" s="540" t="s">
        <v>921</v>
      </c>
      <c r="C91" s="495">
        <v>300</v>
      </c>
      <c r="D91" s="496">
        <v>300</v>
      </c>
      <c r="E91" s="499">
        <v>0</v>
      </c>
      <c r="F91" s="542">
        <v>300</v>
      </c>
      <c r="G91" s="496"/>
      <c r="H91" s="498">
        <v>0</v>
      </c>
      <c r="I91" s="498">
        <v>0</v>
      </c>
      <c r="J91" s="500">
        <v>0</v>
      </c>
      <c r="K91" s="500">
        <v>0</v>
      </c>
      <c r="L91" s="500">
        <v>0</v>
      </c>
      <c r="M91" s="500">
        <v>0</v>
      </c>
      <c r="N91" s="500">
        <v>0</v>
      </c>
      <c r="O91" s="500">
        <v>0</v>
      </c>
      <c r="P91" s="500">
        <v>0</v>
      </c>
      <c r="Q91" s="500">
        <v>0</v>
      </c>
      <c r="R91" s="500">
        <v>0</v>
      </c>
      <c r="S91" s="500"/>
      <c r="T91" s="728">
        <v>0</v>
      </c>
    </row>
    <row r="92" spans="1:24" x14ac:dyDescent="0.3">
      <c r="A92" s="539" t="s">
        <v>922</v>
      </c>
      <c r="B92" s="540" t="s">
        <v>923</v>
      </c>
      <c r="C92" s="495">
        <v>100</v>
      </c>
      <c r="D92" s="496">
        <v>100</v>
      </c>
      <c r="E92" s="499">
        <v>0</v>
      </c>
      <c r="F92" s="542">
        <v>0</v>
      </c>
      <c r="G92" s="496"/>
      <c r="H92" s="498">
        <v>0</v>
      </c>
      <c r="I92" s="498">
        <v>0</v>
      </c>
      <c r="J92" s="500">
        <v>0</v>
      </c>
      <c r="K92" s="500">
        <v>0</v>
      </c>
      <c r="L92" s="500">
        <v>0</v>
      </c>
      <c r="M92" s="500">
        <v>0</v>
      </c>
      <c r="N92" s="500">
        <v>0</v>
      </c>
      <c r="O92" s="500">
        <v>0</v>
      </c>
      <c r="P92" s="500">
        <v>0</v>
      </c>
      <c r="Q92" s="500">
        <v>0</v>
      </c>
      <c r="R92" s="500">
        <v>0</v>
      </c>
      <c r="S92" s="500"/>
      <c r="T92" s="728">
        <v>0</v>
      </c>
    </row>
    <row r="93" spans="1:24" x14ac:dyDescent="0.3">
      <c r="A93" s="539" t="s">
        <v>924</v>
      </c>
      <c r="B93" s="540" t="s">
        <v>925</v>
      </c>
      <c r="C93" s="495">
        <v>100</v>
      </c>
      <c r="D93" s="496">
        <v>100</v>
      </c>
      <c r="E93" s="499">
        <v>0</v>
      </c>
      <c r="F93" s="542">
        <v>100</v>
      </c>
      <c r="G93" s="496"/>
      <c r="H93" s="498">
        <v>0</v>
      </c>
      <c r="I93" s="498">
        <v>0</v>
      </c>
      <c r="J93" s="500">
        <v>0</v>
      </c>
      <c r="K93" s="500">
        <v>0</v>
      </c>
      <c r="L93" s="500">
        <v>0</v>
      </c>
      <c r="M93" s="500">
        <v>0</v>
      </c>
      <c r="N93" s="500">
        <v>0</v>
      </c>
      <c r="O93" s="500">
        <v>0</v>
      </c>
      <c r="P93" s="500">
        <v>0</v>
      </c>
      <c r="Q93" s="500">
        <v>0</v>
      </c>
      <c r="R93" s="500">
        <v>0</v>
      </c>
      <c r="S93" s="500"/>
      <c r="T93" s="728">
        <v>0</v>
      </c>
    </row>
    <row r="94" spans="1:24" s="420" customFormat="1" x14ac:dyDescent="0.3">
      <c r="A94" s="501" t="s">
        <v>926</v>
      </c>
      <c r="B94" s="502" t="s">
        <v>927</v>
      </c>
      <c r="C94" s="503"/>
      <c r="D94" s="504"/>
      <c r="E94" s="509"/>
      <c r="F94" s="504"/>
      <c r="G94" s="504"/>
      <c r="H94" s="510"/>
      <c r="I94" s="510"/>
      <c r="J94" s="511"/>
      <c r="K94" s="511"/>
      <c r="L94" s="511"/>
      <c r="M94" s="511"/>
      <c r="N94" s="511"/>
      <c r="O94" s="511"/>
      <c r="P94" s="511"/>
      <c r="Q94" s="511"/>
      <c r="R94" s="507"/>
      <c r="S94" s="511"/>
      <c r="T94" s="730"/>
      <c r="U94" s="418"/>
      <c r="V94" s="419"/>
    </row>
    <row r="95" spans="1:24" x14ac:dyDescent="0.3">
      <c r="A95" s="539" t="s">
        <v>928</v>
      </c>
      <c r="B95" s="540" t="s">
        <v>929</v>
      </c>
      <c r="C95" s="495">
        <v>35000</v>
      </c>
      <c r="D95" s="496">
        <v>23000</v>
      </c>
      <c r="E95" s="499">
        <v>9247.4</v>
      </c>
      <c r="F95" s="542">
        <v>25000</v>
      </c>
      <c r="G95" s="496"/>
      <c r="H95" s="500">
        <v>952.75</v>
      </c>
      <c r="I95" s="500">
        <v>3316.7</v>
      </c>
      <c r="J95" s="500">
        <v>4044.6</v>
      </c>
      <c r="K95" s="500">
        <v>4691.7</v>
      </c>
      <c r="L95" s="500">
        <v>4834.42</v>
      </c>
      <c r="M95" s="500">
        <v>5209.97</v>
      </c>
      <c r="N95" s="500">
        <v>5286.17</v>
      </c>
      <c r="O95" s="500">
        <v>5723.01</v>
      </c>
      <c r="P95" s="500">
        <v>5924.71</v>
      </c>
      <c r="Q95" s="500">
        <v>6248.21</v>
      </c>
      <c r="R95" s="500">
        <v>6284.66</v>
      </c>
      <c r="S95" s="500"/>
      <c r="T95" s="728">
        <v>6559.06</v>
      </c>
      <c r="U95" s="395" t="s">
        <v>259</v>
      </c>
      <c r="X95" s="567">
        <f>F96+F97+F99+F100+F102+F103</f>
        <v>10350</v>
      </c>
    </row>
    <row r="96" spans="1:24" x14ac:dyDescent="0.3">
      <c r="A96" s="539" t="s">
        <v>930</v>
      </c>
      <c r="B96" s="540" t="s">
        <v>931</v>
      </c>
      <c r="C96" s="541">
        <v>2000</v>
      </c>
      <c r="D96" s="542">
        <v>2000</v>
      </c>
      <c r="E96" s="615">
        <v>290</v>
      </c>
      <c r="F96" s="542">
        <v>2500</v>
      </c>
      <c r="G96" s="496"/>
      <c r="H96" s="500">
        <v>0</v>
      </c>
      <c r="I96" s="500">
        <v>1542.54</v>
      </c>
      <c r="J96" s="500">
        <v>1542.54</v>
      </c>
      <c r="K96" s="500">
        <v>1542.54</v>
      </c>
      <c r="L96" s="500">
        <v>1542.54</v>
      </c>
      <c r="M96" s="500">
        <v>1542.54</v>
      </c>
      <c r="N96" s="500">
        <v>1542.54</v>
      </c>
      <c r="O96" s="500">
        <v>1542.54</v>
      </c>
      <c r="P96" s="500">
        <v>1542.54</v>
      </c>
      <c r="Q96" s="500">
        <v>1542.54</v>
      </c>
      <c r="R96" s="500">
        <v>1542.54</v>
      </c>
      <c r="S96" s="500"/>
      <c r="T96" s="728">
        <v>1542.54</v>
      </c>
    </row>
    <row r="97" spans="1:25" x14ac:dyDescent="0.3">
      <c r="A97" s="539" t="s">
        <v>932</v>
      </c>
      <c r="B97" s="540" t="s">
        <v>933</v>
      </c>
      <c r="C97" s="541">
        <v>12000</v>
      </c>
      <c r="D97" s="542">
        <v>12000</v>
      </c>
      <c r="E97" s="615">
        <v>2049.5300000000002</v>
      </c>
      <c r="F97" s="542">
        <v>6000</v>
      </c>
      <c r="G97" s="496"/>
      <c r="H97" s="500">
        <v>72</v>
      </c>
      <c r="I97" s="500">
        <v>2589.4299999999998</v>
      </c>
      <c r="J97" s="500">
        <v>2589.4299999999998</v>
      </c>
      <c r="K97" s="500">
        <v>2737.03</v>
      </c>
      <c r="L97" s="500">
        <v>2737.03</v>
      </c>
      <c r="M97" s="500">
        <v>2737.03</v>
      </c>
      <c r="N97" s="500">
        <v>2809.03</v>
      </c>
      <c r="O97" s="500">
        <v>2809.03</v>
      </c>
      <c r="P97" s="500">
        <v>2809.03</v>
      </c>
      <c r="Q97" s="500">
        <v>2809.03</v>
      </c>
      <c r="R97" s="500">
        <v>2809.03</v>
      </c>
      <c r="S97" s="500"/>
      <c r="T97" s="728">
        <v>2905.03</v>
      </c>
    </row>
    <row r="98" spans="1:25" x14ac:dyDescent="0.3">
      <c r="A98" s="539" t="s">
        <v>934</v>
      </c>
      <c r="B98" s="540" t="s">
        <v>935</v>
      </c>
      <c r="C98" s="541">
        <v>12000</v>
      </c>
      <c r="D98" s="542">
        <v>12000</v>
      </c>
      <c r="E98" s="615">
        <v>1534.52</v>
      </c>
      <c r="F98" s="542">
        <v>7000</v>
      </c>
      <c r="G98" s="496"/>
      <c r="H98" s="500">
        <v>6</v>
      </c>
      <c r="I98" s="500">
        <v>1048.8599999999999</v>
      </c>
      <c r="J98" s="500">
        <v>1390.86</v>
      </c>
      <c r="K98" s="500">
        <v>1390.86</v>
      </c>
      <c r="L98" s="500">
        <v>1467.86</v>
      </c>
      <c r="M98" s="500">
        <v>1467.86</v>
      </c>
      <c r="N98" s="500">
        <v>1467.86</v>
      </c>
      <c r="O98" s="500">
        <v>2241.86</v>
      </c>
      <c r="P98" s="500">
        <v>2280.86</v>
      </c>
      <c r="Q98" s="500">
        <v>2350.86</v>
      </c>
      <c r="R98" s="500">
        <v>3093.11</v>
      </c>
      <c r="S98" s="500"/>
      <c r="T98" s="728">
        <v>3180.51</v>
      </c>
    </row>
    <row r="99" spans="1:25" x14ac:dyDescent="0.25">
      <c r="A99" s="626" t="s">
        <v>936</v>
      </c>
      <c r="B99" s="627" t="s">
        <v>937</v>
      </c>
      <c r="C99" s="628">
        <v>1000</v>
      </c>
      <c r="D99" s="629">
        <v>1000</v>
      </c>
      <c r="E99" s="615">
        <v>160</v>
      </c>
      <c r="F99" s="630">
        <v>500</v>
      </c>
      <c r="G99" s="519"/>
      <c r="H99" s="520">
        <v>0</v>
      </c>
      <c r="I99" s="500">
        <v>0</v>
      </c>
      <c r="J99" s="500">
        <v>0</v>
      </c>
      <c r="K99" s="500">
        <v>0</v>
      </c>
      <c r="L99" s="500">
        <v>0</v>
      </c>
      <c r="M99" s="500">
        <v>0</v>
      </c>
      <c r="N99" s="500">
        <v>0</v>
      </c>
      <c r="O99" s="500">
        <v>0</v>
      </c>
      <c r="P99" s="500">
        <v>0</v>
      </c>
      <c r="Q99" s="500">
        <v>0</v>
      </c>
      <c r="R99" s="500">
        <v>0</v>
      </c>
      <c r="S99" s="500"/>
      <c r="T99" s="728">
        <v>0</v>
      </c>
    </row>
    <row r="100" spans="1:25" x14ac:dyDescent="0.25">
      <c r="A100" s="621" t="s">
        <v>938</v>
      </c>
      <c r="B100" s="622" t="s">
        <v>939</v>
      </c>
      <c r="C100" s="631">
        <v>4000</v>
      </c>
      <c r="D100" s="632">
        <v>4000</v>
      </c>
      <c r="E100" s="615">
        <v>132</v>
      </c>
      <c r="F100" s="620">
        <v>1000</v>
      </c>
      <c r="G100" s="522"/>
      <c r="H100" s="523">
        <v>168</v>
      </c>
      <c r="I100" s="500">
        <v>168</v>
      </c>
      <c r="J100" s="500">
        <v>168</v>
      </c>
      <c r="K100" s="500">
        <v>168</v>
      </c>
      <c r="L100" s="500">
        <v>168</v>
      </c>
      <c r="M100" s="500">
        <v>168</v>
      </c>
      <c r="N100" s="500">
        <v>168</v>
      </c>
      <c r="O100" s="500">
        <v>240</v>
      </c>
      <c r="P100" s="500">
        <v>240</v>
      </c>
      <c r="Q100" s="500">
        <v>360</v>
      </c>
      <c r="R100" s="500">
        <v>360</v>
      </c>
      <c r="S100" s="500"/>
      <c r="T100" s="728">
        <v>360</v>
      </c>
    </row>
    <row r="101" spans="1:25" x14ac:dyDescent="0.25">
      <c r="A101" s="621" t="s">
        <v>940</v>
      </c>
      <c r="B101" s="622" t="s">
        <v>941</v>
      </c>
      <c r="C101" s="631">
        <v>1000</v>
      </c>
      <c r="D101" s="632">
        <v>1000</v>
      </c>
      <c r="E101" s="615">
        <v>329.2</v>
      </c>
      <c r="F101" s="620">
        <v>500</v>
      </c>
      <c r="G101" s="522"/>
      <c r="H101" s="523">
        <v>106.2</v>
      </c>
      <c r="I101" s="500">
        <v>106.2</v>
      </c>
      <c r="J101" s="500">
        <v>106.2</v>
      </c>
      <c r="K101" s="500">
        <v>106.2</v>
      </c>
      <c r="L101" s="500">
        <v>356.8</v>
      </c>
      <c r="M101" s="500">
        <v>356.8</v>
      </c>
      <c r="N101" s="500">
        <v>356.8</v>
      </c>
      <c r="O101" s="500">
        <v>356.8</v>
      </c>
      <c r="P101" s="500">
        <v>482.45</v>
      </c>
      <c r="Q101" s="500">
        <v>482.45</v>
      </c>
      <c r="R101" s="500">
        <v>482.45</v>
      </c>
      <c r="S101" s="500"/>
      <c r="T101" s="728">
        <v>482.45</v>
      </c>
    </row>
    <row r="102" spans="1:25" x14ac:dyDescent="0.25">
      <c r="A102" s="621" t="s">
        <v>942</v>
      </c>
      <c r="B102" s="622" t="s">
        <v>943</v>
      </c>
      <c r="C102" s="631">
        <v>500</v>
      </c>
      <c r="D102" s="632">
        <v>500</v>
      </c>
      <c r="E102" s="615">
        <v>0</v>
      </c>
      <c r="F102" s="620">
        <v>100</v>
      </c>
      <c r="G102" s="522"/>
      <c r="H102" s="523">
        <v>0</v>
      </c>
      <c r="I102" s="500">
        <v>0</v>
      </c>
      <c r="J102" s="500">
        <v>0</v>
      </c>
      <c r="K102" s="500">
        <v>0</v>
      </c>
      <c r="L102" s="500">
        <v>0</v>
      </c>
      <c r="M102" s="500">
        <v>0</v>
      </c>
      <c r="N102" s="500">
        <v>0</v>
      </c>
      <c r="O102" s="500">
        <v>0</v>
      </c>
      <c r="P102" s="500">
        <v>0</v>
      </c>
      <c r="Q102" s="500">
        <v>0</v>
      </c>
      <c r="R102" s="500">
        <v>0</v>
      </c>
      <c r="S102" s="500"/>
      <c r="T102" s="728">
        <v>0</v>
      </c>
    </row>
    <row r="103" spans="1:25" x14ac:dyDescent="0.25">
      <c r="A103" s="633" t="s">
        <v>944</v>
      </c>
      <c r="B103" s="634" t="s">
        <v>945</v>
      </c>
      <c r="C103" s="635">
        <v>1000</v>
      </c>
      <c r="D103" s="636">
        <v>1000</v>
      </c>
      <c r="E103" s="615">
        <v>244</v>
      </c>
      <c r="F103" s="637">
        <v>250</v>
      </c>
      <c r="G103" s="524"/>
      <c r="H103" s="525">
        <v>0</v>
      </c>
      <c r="I103" s="500">
        <v>0</v>
      </c>
      <c r="J103" s="500">
        <v>0</v>
      </c>
      <c r="K103" s="500">
        <v>0</v>
      </c>
      <c r="L103" s="500">
        <v>0</v>
      </c>
      <c r="M103" s="500">
        <v>0</v>
      </c>
      <c r="N103" s="500">
        <v>0</v>
      </c>
      <c r="O103" s="500">
        <v>0</v>
      </c>
      <c r="P103" s="500">
        <v>0</v>
      </c>
      <c r="Q103" s="500">
        <v>0</v>
      </c>
      <c r="R103" s="500">
        <v>0</v>
      </c>
      <c r="S103" s="500"/>
      <c r="T103" s="728">
        <v>0</v>
      </c>
    </row>
    <row r="104" spans="1:25" s="420" customFormat="1" x14ac:dyDescent="0.3">
      <c r="A104" s="501" t="s">
        <v>946</v>
      </c>
      <c r="B104" s="502" t="s">
        <v>947</v>
      </c>
      <c r="C104" s="503"/>
      <c r="D104" s="504"/>
      <c r="E104" s="505"/>
      <c r="F104" s="504"/>
      <c r="G104" s="504"/>
      <c r="H104" s="510"/>
      <c r="I104" s="510"/>
      <c r="J104" s="511"/>
      <c r="K104" s="511"/>
      <c r="L104" s="511"/>
      <c r="M104" s="511"/>
      <c r="N104" s="511"/>
      <c r="O104" s="511"/>
      <c r="P104" s="511"/>
      <c r="Q104" s="511"/>
      <c r="R104" s="507"/>
      <c r="S104" s="507"/>
      <c r="T104" s="729"/>
      <c r="U104" s="418"/>
      <c r="V104" s="419"/>
    </row>
    <row r="105" spans="1:25" x14ac:dyDescent="0.25">
      <c r="A105" s="623" t="s">
        <v>948</v>
      </c>
      <c r="B105" s="624" t="s">
        <v>949</v>
      </c>
      <c r="C105" s="495">
        <v>20000</v>
      </c>
      <c r="D105" s="496">
        <v>14000</v>
      </c>
      <c r="E105" s="499">
        <v>4708.34</v>
      </c>
      <c r="F105" s="542">
        <v>10000</v>
      </c>
      <c r="G105" s="496"/>
      <c r="H105" s="526">
        <v>149.35</v>
      </c>
      <c r="I105" s="500">
        <v>468.79</v>
      </c>
      <c r="J105" s="500">
        <v>644.29</v>
      </c>
      <c r="K105" s="500">
        <v>836.19</v>
      </c>
      <c r="L105" s="500">
        <v>1571.22</v>
      </c>
      <c r="M105" s="500">
        <v>2032.66</v>
      </c>
      <c r="N105" s="500">
        <v>2138.86</v>
      </c>
      <c r="O105" s="500">
        <v>2138.86</v>
      </c>
      <c r="P105" s="500">
        <v>2599.1999999999998</v>
      </c>
      <c r="Q105" s="500">
        <v>2732.82</v>
      </c>
      <c r="R105" s="500">
        <v>2935.52</v>
      </c>
      <c r="S105" s="500"/>
      <c r="T105" s="728">
        <v>3531.01</v>
      </c>
      <c r="U105" s="395" t="s">
        <v>238</v>
      </c>
      <c r="Y105" s="567">
        <f>F105+F109+F112+F133+F152++F160+F170+F184</f>
        <v>17800</v>
      </c>
    </row>
    <row r="106" spans="1:25" x14ac:dyDescent="0.25">
      <c r="A106" s="623" t="s">
        <v>950</v>
      </c>
      <c r="B106" s="624" t="s">
        <v>951</v>
      </c>
      <c r="C106" s="495">
        <v>2500</v>
      </c>
      <c r="D106" s="496">
        <v>7500</v>
      </c>
      <c r="E106" s="499">
        <v>80</v>
      </c>
      <c r="F106" s="542">
        <v>1000</v>
      </c>
      <c r="G106" s="496"/>
      <c r="H106" s="526">
        <v>0</v>
      </c>
      <c r="I106" s="500">
        <v>0</v>
      </c>
      <c r="J106" s="500">
        <v>0</v>
      </c>
      <c r="K106" s="500">
        <v>0</v>
      </c>
      <c r="L106" s="500">
        <v>0</v>
      </c>
      <c r="M106" s="500">
        <v>0</v>
      </c>
      <c r="N106" s="500">
        <v>0</v>
      </c>
      <c r="O106" s="500">
        <v>0</v>
      </c>
      <c r="P106" s="500">
        <v>0</v>
      </c>
      <c r="Q106" s="500">
        <v>0</v>
      </c>
      <c r="R106" s="500">
        <v>0</v>
      </c>
      <c r="S106" s="500"/>
      <c r="T106" s="728">
        <v>0</v>
      </c>
      <c r="U106" s="395" t="s">
        <v>262</v>
      </c>
      <c r="Y106" s="567">
        <f>F106+F107+F110+F111+F113+F114++F172+F186</f>
        <v>5960</v>
      </c>
    </row>
    <row r="107" spans="1:25" x14ac:dyDescent="0.25">
      <c r="A107" s="623" t="s">
        <v>952</v>
      </c>
      <c r="B107" s="624" t="s">
        <v>953</v>
      </c>
      <c r="C107" s="495">
        <v>10000</v>
      </c>
      <c r="D107" s="496">
        <v>5000</v>
      </c>
      <c r="E107" s="499">
        <v>1169.4000000000001</v>
      </c>
      <c r="F107" s="542">
        <v>3500</v>
      </c>
      <c r="G107" s="496"/>
      <c r="H107" s="526">
        <v>168</v>
      </c>
      <c r="I107" s="500">
        <v>264</v>
      </c>
      <c r="J107" s="500">
        <v>312</v>
      </c>
      <c r="K107" s="500">
        <v>312</v>
      </c>
      <c r="L107" s="500">
        <v>404.2</v>
      </c>
      <c r="M107" s="500">
        <v>438.2</v>
      </c>
      <c r="N107" s="500">
        <v>438.2</v>
      </c>
      <c r="O107" s="500">
        <v>606.20000000000005</v>
      </c>
      <c r="P107" s="500">
        <v>822.2</v>
      </c>
      <c r="Q107" s="500">
        <v>942.2</v>
      </c>
      <c r="R107" s="500">
        <v>1014.2</v>
      </c>
      <c r="S107" s="500"/>
      <c r="T107" s="728">
        <v>1551.23</v>
      </c>
    </row>
    <row r="108" spans="1:25" s="420" customFormat="1" x14ac:dyDescent="0.3">
      <c r="A108" s="501" t="s">
        <v>954</v>
      </c>
      <c r="B108" s="502" t="s">
        <v>955</v>
      </c>
      <c r="C108" s="503"/>
      <c r="D108" s="504"/>
      <c r="E108" s="505"/>
      <c r="F108" s="504"/>
      <c r="G108" s="504"/>
      <c r="H108" s="510"/>
      <c r="I108" s="510"/>
      <c r="J108" s="511"/>
      <c r="K108" s="511"/>
      <c r="L108" s="511"/>
      <c r="M108" s="511"/>
      <c r="N108" s="511"/>
      <c r="O108" s="511"/>
      <c r="P108" s="511"/>
      <c r="Q108" s="511"/>
      <c r="R108" s="507"/>
      <c r="S108" s="507"/>
      <c r="T108" s="729"/>
      <c r="U108" s="418"/>
      <c r="V108" s="419"/>
    </row>
    <row r="109" spans="1:25" x14ac:dyDescent="0.25">
      <c r="A109" s="623" t="s">
        <v>956</v>
      </c>
      <c r="B109" s="624" t="s">
        <v>957</v>
      </c>
      <c r="C109" s="495">
        <v>1000</v>
      </c>
      <c r="D109" s="496">
        <v>1000</v>
      </c>
      <c r="E109" s="499">
        <v>312.39999999999998</v>
      </c>
      <c r="F109" s="542">
        <v>500</v>
      </c>
      <c r="G109" s="496"/>
      <c r="H109" s="527">
        <v>0</v>
      </c>
      <c r="I109" s="498">
        <v>0</v>
      </c>
      <c r="J109" s="500">
        <v>24.9</v>
      </c>
      <c r="K109" s="500">
        <v>24.9</v>
      </c>
      <c r="L109" s="500">
        <v>24.9</v>
      </c>
      <c r="M109" s="500">
        <v>24.9</v>
      </c>
      <c r="N109" s="500">
        <v>24.9</v>
      </c>
      <c r="O109" s="500">
        <v>24.9</v>
      </c>
      <c r="P109" s="500">
        <v>24.9</v>
      </c>
      <c r="Q109" s="500">
        <v>24.9</v>
      </c>
      <c r="R109" s="500">
        <v>24.9</v>
      </c>
      <c r="S109" s="500"/>
      <c r="T109" s="728">
        <v>24.9</v>
      </c>
    </row>
    <row r="110" spans="1:25" x14ac:dyDescent="0.25">
      <c r="A110" s="623" t="s">
        <v>958</v>
      </c>
      <c r="B110" s="624" t="s">
        <v>959</v>
      </c>
      <c r="C110" s="495">
        <v>100</v>
      </c>
      <c r="D110" s="496">
        <v>100</v>
      </c>
      <c r="E110" s="499">
        <v>0</v>
      </c>
      <c r="F110" s="542">
        <v>0</v>
      </c>
      <c r="G110" s="496"/>
      <c r="H110" s="527">
        <v>0</v>
      </c>
      <c r="I110" s="498">
        <v>0</v>
      </c>
      <c r="J110" s="500">
        <v>0</v>
      </c>
      <c r="K110" s="500">
        <v>0</v>
      </c>
      <c r="L110" s="500">
        <v>0</v>
      </c>
      <c r="M110" s="500">
        <v>0</v>
      </c>
      <c r="N110" s="500">
        <v>0</v>
      </c>
      <c r="O110" s="500">
        <v>0</v>
      </c>
      <c r="P110" s="500">
        <v>0</v>
      </c>
      <c r="Q110" s="500">
        <v>0</v>
      </c>
      <c r="R110" s="500">
        <v>0</v>
      </c>
      <c r="S110" s="500"/>
      <c r="T110" s="728">
        <v>0</v>
      </c>
    </row>
    <row r="111" spans="1:25" x14ac:dyDescent="0.25">
      <c r="A111" s="623" t="s">
        <v>960</v>
      </c>
      <c r="B111" s="624" t="s">
        <v>961</v>
      </c>
      <c r="C111" s="495">
        <v>200</v>
      </c>
      <c r="D111" s="496">
        <v>200</v>
      </c>
      <c r="E111" s="499">
        <v>0</v>
      </c>
      <c r="F111" s="542">
        <v>100</v>
      </c>
      <c r="G111" s="496"/>
      <c r="H111" s="527">
        <v>0</v>
      </c>
      <c r="I111" s="498">
        <v>0</v>
      </c>
      <c r="J111" s="500">
        <v>0</v>
      </c>
      <c r="K111" s="500">
        <v>0</v>
      </c>
      <c r="L111" s="500">
        <v>0</v>
      </c>
      <c r="M111" s="500">
        <v>0</v>
      </c>
      <c r="N111" s="500">
        <v>0</v>
      </c>
      <c r="O111" s="500">
        <v>0</v>
      </c>
      <c r="P111" s="500">
        <v>0</v>
      </c>
      <c r="Q111" s="500">
        <v>0</v>
      </c>
      <c r="R111" s="500">
        <v>0</v>
      </c>
      <c r="S111" s="500"/>
      <c r="T111" s="728">
        <v>0</v>
      </c>
    </row>
    <row r="112" spans="1:25" x14ac:dyDescent="0.25">
      <c r="A112" s="623" t="s">
        <v>962</v>
      </c>
      <c r="B112" s="624" t="s">
        <v>963</v>
      </c>
      <c r="C112" s="495">
        <v>1500</v>
      </c>
      <c r="D112" s="496">
        <v>1500</v>
      </c>
      <c r="E112" s="499">
        <v>0</v>
      </c>
      <c r="F112" s="542">
        <v>300</v>
      </c>
      <c r="G112" s="496"/>
      <c r="H112" s="527">
        <v>0</v>
      </c>
      <c r="I112" s="498">
        <v>0</v>
      </c>
      <c r="J112" s="500">
        <v>0</v>
      </c>
      <c r="K112" s="500">
        <v>0</v>
      </c>
      <c r="L112" s="500">
        <v>0</v>
      </c>
      <c r="M112" s="500">
        <v>0</v>
      </c>
      <c r="N112" s="500">
        <v>0</v>
      </c>
      <c r="O112" s="500">
        <v>0</v>
      </c>
      <c r="P112" s="500">
        <v>0</v>
      </c>
      <c r="Q112" s="500">
        <v>0</v>
      </c>
      <c r="R112" s="500">
        <v>0</v>
      </c>
      <c r="S112" s="500"/>
      <c r="T112" s="728">
        <v>0</v>
      </c>
    </row>
    <row r="113" spans="1:22" x14ac:dyDescent="0.25">
      <c r="A113" s="623" t="s">
        <v>964</v>
      </c>
      <c r="B113" s="624" t="s">
        <v>965</v>
      </c>
      <c r="C113" s="495">
        <v>160</v>
      </c>
      <c r="D113" s="496">
        <v>160</v>
      </c>
      <c r="E113" s="499">
        <v>0</v>
      </c>
      <c r="F113" s="542">
        <v>160</v>
      </c>
      <c r="G113" s="496"/>
      <c r="H113" s="527">
        <v>0</v>
      </c>
      <c r="I113" s="498">
        <v>0</v>
      </c>
      <c r="J113" s="500">
        <v>0</v>
      </c>
      <c r="K113" s="500">
        <v>0</v>
      </c>
      <c r="L113" s="500">
        <v>0</v>
      </c>
      <c r="M113" s="500">
        <v>0</v>
      </c>
      <c r="N113" s="500">
        <v>0</v>
      </c>
      <c r="O113" s="500">
        <v>0</v>
      </c>
      <c r="P113" s="500">
        <v>0</v>
      </c>
      <c r="Q113" s="500">
        <v>0</v>
      </c>
      <c r="R113" s="500">
        <v>0</v>
      </c>
      <c r="S113" s="500"/>
      <c r="T113" s="728">
        <v>0</v>
      </c>
    </row>
    <row r="114" spans="1:22" x14ac:dyDescent="0.25">
      <c r="A114" s="623" t="s">
        <v>966</v>
      </c>
      <c r="B114" s="624" t="s">
        <v>967</v>
      </c>
      <c r="C114" s="495">
        <v>1000</v>
      </c>
      <c r="D114" s="496">
        <v>1000</v>
      </c>
      <c r="E114" s="499">
        <v>0</v>
      </c>
      <c r="F114" s="542">
        <v>200</v>
      </c>
      <c r="G114" s="496"/>
      <c r="H114" s="527">
        <v>0</v>
      </c>
      <c r="I114" s="498">
        <v>0</v>
      </c>
      <c r="J114" s="500">
        <v>0</v>
      </c>
      <c r="K114" s="500">
        <v>0</v>
      </c>
      <c r="L114" s="500">
        <v>0</v>
      </c>
      <c r="M114" s="500">
        <v>0</v>
      </c>
      <c r="N114" s="500">
        <v>0</v>
      </c>
      <c r="O114" s="500">
        <v>0</v>
      </c>
      <c r="P114" s="500">
        <v>0</v>
      </c>
      <c r="Q114" s="500">
        <v>0</v>
      </c>
      <c r="R114" s="500">
        <v>0</v>
      </c>
      <c r="S114" s="500"/>
      <c r="T114" s="728">
        <v>0</v>
      </c>
    </row>
    <row r="115" spans="1:22" s="420" customFormat="1" x14ac:dyDescent="0.3">
      <c r="A115" s="501" t="s">
        <v>968</v>
      </c>
      <c r="B115" s="502" t="s">
        <v>969</v>
      </c>
      <c r="C115" s="503"/>
      <c r="D115" s="504"/>
      <c r="E115" s="505"/>
      <c r="F115" s="504"/>
      <c r="G115" s="504"/>
      <c r="H115" s="510"/>
      <c r="I115" s="510"/>
      <c r="J115" s="511"/>
      <c r="K115" s="511"/>
      <c r="L115" s="511"/>
      <c r="M115" s="511"/>
      <c r="N115" s="511"/>
      <c r="O115" s="511"/>
      <c r="P115" s="511"/>
      <c r="Q115" s="511"/>
      <c r="R115" s="511"/>
      <c r="S115" s="507"/>
      <c r="T115" s="729"/>
      <c r="U115" s="418"/>
      <c r="V115" s="419"/>
    </row>
    <row r="116" spans="1:22" x14ac:dyDescent="0.3">
      <c r="A116" s="539" t="s">
        <v>970</v>
      </c>
      <c r="B116" s="540" t="s">
        <v>971</v>
      </c>
      <c r="C116" s="541">
        <v>2500</v>
      </c>
      <c r="D116" s="542">
        <v>2500</v>
      </c>
      <c r="E116" s="615">
        <v>575.6</v>
      </c>
      <c r="F116" s="542">
        <v>1500</v>
      </c>
      <c r="G116" s="496"/>
      <c r="H116" s="498">
        <v>0</v>
      </c>
      <c r="I116" s="498">
        <v>0</v>
      </c>
      <c r="J116" s="500">
        <v>0</v>
      </c>
      <c r="K116" s="500">
        <v>12.8</v>
      </c>
      <c r="L116" s="500">
        <v>253.4</v>
      </c>
      <c r="M116" s="500">
        <v>277.39999999999998</v>
      </c>
      <c r="N116" s="500">
        <v>277.39999999999998</v>
      </c>
      <c r="O116" s="500">
        <v>277.39999999999998</v>
      </c>
      <c r="P116" s="500">
        <v>296</v>
      </c>
      <c r="Q116" s="500">
        <v>296</v>
      </c>
      <c r="R116" s="500">
        <v>296</v>
      </c>
      <c r="S116" s="500"/>
      <c r="T116" s="728">
        <v>296</v>
      </c>
    </row>
    <row r="117" spans="1:22" x14ac:dyDescent="0.3">
      <c r="A117" s="539" t="s">
        <v>972</v>
      </c>
      <c r="B117" s="540" t="s">
        <v>973</v>
      </c>
      <c r="C117" s="541">
        <v>300</v>
      </c>
      <c r="D117" s="542">
        <v>300</v>
      </c>
      <c r="E117" s="615">
        <v>242.6</v>
      </c>
      <c r="F117" s="542">
        <v>100</v>
      </c>
      <c r="G117" s="496"/>
      <c r="H117" s="498">
        <v>0</v>
      </c>
      <c r="I117" s="498">
        <v>0</v>
      </c>
      <c r="J117" s="500">
        <v>0</v>
      </c>
      <c r="K117" s="500">
        <v>0</v>
      </c>
      <c r="L117" s="500">
        <v>0</v>
      </c>
      <c r="M117" s="500">
        <v>0</v>
      </c>
      <c r="N117" s="500">
        <v>0</v>
      </c>
      <c r="O117" s="500">
        <v>0</v>
      </c>
      <c r="P117" s="500">
        <v>0</v>
      </c>
      <c r="Q117" s="500">
        <v>0</v>
      </c>
      <c r="R117" s="500">
        <v>0</v>
      </c>
      <c r="S117" s="500"/>
      <c r="T117" s="728">
        <v>0</v>
      </c>
    </row>
    <row r="118" spans="1:22" s="420" customFormat="1" x14ac:dyDescent="0.3">
      <c r="A118" s="501" t="s">
        <v>974</v>
      </c>
      <c r="B118" s="502" t="s">
        <v>975</v>
      </c>
      <c r="C118" s="503"/>
      <c r="D118" s="504"/>
      <c r="E118" s="505"/>
      <c r="F118" s="504"/>
      <c r="G118" s="504"/>
      <c r="H118" s="510"/>
      <c r="I118" s="510"/>
      <c r="J118" s="511"/>
      <c r="K118" s="511"/>
      <c r="L118" s="511"/>
      <c r="M118" s="511"/>
      <c r="N118" s="511"/>
      <c r="O118" s="511"/>
      <c r="P118" s="511"/>
      <c r="Q118" s="511"/>
      <c r="R118" s="511"/>
      <c r="S118" s="507"/>
      <c r="T118" s="729"/>
      <c r="U118" s="418"/>
      <c r="V118" s="419"/>
    </row>
    <row r="119" spans="1:22" x14ac:dyDescent="0.3">
      <c r="A119" s="539" t="s">
        <v>257</v>
      </c>
      <c r="B119" s="540" t="s">
        <v>976</v>
      </c>
      <c r="C119" s="541">
        <v>4000</v>
      </c>
      <c r="D119" s="542">
        <v>4000</v>
      </c>
      <c r="E119" s="615">
        <v>375.85</v>
      </c>
      <c r="F119" s="542">
        <v>2500</v>
      </c>
      <c r="G119" s="496"/>
      <c r="H119" s="500">
        <v>141.62</v>
      </c>
      <c r="I119" s="500">
        <v>152.84</v>
      </c>
      <c r="J119" s="500">
        <v>301.83999999999997</v>
      </c>
      <c r="K119" s="500">
        <v>323.82</v>
      </c>
      <c r="L119" s="500">
        <v>333.3</v>
      </c>
      <c r="M119" s="500">
        <v>380.21</v>
      </c>
      <c r="N119" s="500">
        <v>380.21</v>
      </c>
      <c r="O119" s="500">
        <v>435.43</v>
      </c>
      <c r="P119" s="500">
        <v>512.32000000000005</v>
      </c>
      <c r="Q119" s="500">
        <v>512.32000000000005</v>
      </c>
      <c r="R119" s="500">
        <v>596.82000000000005</v>
      </c>
      <c r="S119" s="500"/>
      <c r="T119" s="728">
        <v>732.35</v>
      </c>
    </row>
    <row r="120" spans="1:22" x14ac:dyDescent="0.3">
      <c r="A120" s="539" t="s">
        <v>258</v>
      </c>
      <c r="B120" s="540" t="s">
        <v>977</v>
      </c>
      <c r="C120" s="541">
        <v>8000</v>
      </c>
      <c r="D120" s="542">
        <v>8000</v>
      </c>
      <c r="E120" s="615">
        <v>147.28</v>
      </c>
      <c r="F120" s="542">
        <v>2500</v>
      </c>
      <c r="G120" s="496"/>
      <c r="H120" s="500">
        <v>31.37</v>
      </c>
      <c r="I120" s="500">
        <v>1797.03</v>
      </c>
      <c r="J120" s="500">
        <v>1797.03</v>
      </c>
      <c r="K120" s="500">
        <v>1797.03</v>
      </c>
      <c r="L120" s="500">
        <v>1797.03</v>
      </c>
      <c r="M120" s="500">
        <v>1797.03</v>
      </c>
      <c r="N120" s="500">
        <v>1797.03</v>
      </c>
      <c r="O120" s="500">
        <v>1797.03</v>
      </c>
      <c r="P120" s="500">
        <v>1797.03</v>
      </c>
      <c r="Q120" s="500">
        <v>1797.03</v>
      </c>
      <c r="R120" s="500">
        <v>1810.85</v>
      </c>
      <c r="S120" s="500"/>
      <c r="T120" s="728">
        <v>1810.85</v>
      </c>
    </row>
    <row r="121" spans="1:22" x14ac:dyDescent="0.3">
      <c r="A121" s="539" t="s">
        <v>261</v>
      </c>
      <c r="B121" s="540" t="s">
        <v>978</v>
      </c>
      <c r="C121" s="541">
        <v>500</v>
      </c>
      <c r="D121" s="542">
        <v>500</v>
      </c>
      <c r="E121" s="615">
        <v>0</v>
      </c>
      <c r="F121" s="542">
        <v>100</v>
      </c>
      <c r="G121" s="496"/>
      <c r="H121" s="500">
        <v>0</v>
      </c>
      <c r="I121" s="500">
        <v>0</v>
      </c>
      <c r="J121" s="500">
        <v>0</v>
      </c>
      <c r="K121" s="500">
        <v>0</v>
      </c>
      <c r="L121" s="500">
        <v>0</v>
      </c>
      <c r="M121" s="500">
        <v>0</v>
      </c>
      <c r="N121" s="500">
        <v>0</v>
      </c>
      <c r="O121" s="500">
        <v>0</v>
      </c>
      <c r="P121" s="500">
        <v>0</v>
      </c>
      <c r="Q121" s="500">
        <v>0</v>
      </c>
      <c r="R121" s="500">
        <v>0</v>
      </c>
      <c r="S121" s="500"/>
      <c r="T121" s="728">
        <v>0</v>
      </c>
    </row>
    <row r="122" spans="1:22" s="420" customFormat="1" x14ac:dyDescent="0.3">
      <c r="A122" s="501"/>
      <c r="B122" s="502" t="s">
        <v>979</v>
      </c>
      <c r="C122" s="503"/>
      <c r="D122" s="504"/>
      <c r="E122" s="505"/>
      <c r="F122" s="504"/>
      <c r="G122" s="504"/>
      <c r="H122" s="510"/>
      <c r="I122" s="510"/>
      <c r="J122" s="511"/>
      <c r="K122" s="511"/>
      <c r="L122" s="511"/>
      <c r="M122" s="511"/>
      <c r="N122" s="511"/>
      <c r="O122" s="511"/>
      <c r="P122" s="511"/>
      <c r="Q122" s="511"/>
      <c r="R122" s="507"/>
      <c r="S122" s="511"/>
      <c r="T122" s="729"/>
      <c r="U122" s="418"/>
      <c r="V122" s="419"/>
    </row>
    <row r="123" spans="1:22" x14ac:dyDescent="0.3">
      <c r="A123" s="539" t="s">
        <v>285</v>
      </c>
      <c r="B123" s="540" t="s">
        <v>980</v>
      </c>
      <c r="C123" s="541">
        <v>140000</v>
      </c>
      <c r="D123" s="542">
        <v>140000</v>
      </c>
      <c r="E123" s="618">
        <v>140111.16</v>
      </c>
      <c r="F123" s="542">
        <v>155000</v>
      </c>
      <c r="G123" s="496"/>
      <c r="H123" s="498">
        <v>0</v>
      </c>
      <c r="I123" s="498">
        <v>0</v>
      </c>
      <c r="J123" s="500">
        <v>0</v>
      </c>
      <c r="K123" s="500">
        <v>33652.75</v>
      </c>
      <c r="L123" s="500">
        <v>33652.75</v>
      </c>
      <c r="M123" s="500">
        <v>33652.75</v>
      </c>
      <c r="N123" s="500">
        <v>33652.75</v>
      </c>
      <c r="O123" s="500">
        <v>33652.75</v>
      </c>
      <c r="P123" s="500">
        <v>72027.179999999993</v>
      </c>
      <c r="Q123" s="500">
        <v>72027.179999999993</v>
      </c>
      <c r="R123" s="500">
        <v>99591.75</v>
      </c>
      <c r="S123" s="508"/>
      <c r="T123" s="728">
        <v>126134.02</v>
      </c>
    </row>
    <row r="124" spans="1:22" x14ac:dyDescent="0.3">
      <c r="A124" s="539" t="s">
        <v>286</v>
      </c>
      <c r="B124" s="540" t="s">
        <v>981</v>
      </c>
      <c r="C124" s="541">
        <v>180000</v>
      </c>
      <c r="D124" s="542">
        <v>190000</v>
      </c>
      <c r="E124" s="618">
        <v>200005.26</v>
      </c>
      <c r="F124" s="542">
        <v>205000</v>
      </c>
      <c r="G124" s="496"/>
      <c r="H124" s="498">
        <v>0</v>
      </c>
      <c r="I124" s="498">
        <v>0</v>
      </c>
      <c r="J124" s="500">
        <v>48639.86</v>
      </c>
      <c r="K124" s="500">
        <v>51019.86</v>
      </c>
      <c r="L124" s="500">
        <v>49829.86</v>
      </c>
      <c r="M124" s="500">
        <v>49829.86</v>
      </c>
      <c r="N124" s="500">
        <v>49829.86</v>
      </c>
      <c r="O124" s="500">
        <v>49829.86</v>
      </c>
      <c r="P124" s="500">
        <v>97509.55</v>
      </c>
      <c r="Q124" s="500">
        <v>97509.55</v>
      </c>
      <c r="R124" s="500">
        <v>140548.79999999999</v>
      </c>
      <c r="S124" s="508"/>
      <c r="T124" s="728">
        <v>185309.52</v>
      </c>
    </row>
    <row r="125" spans="1:22" x14ac:dyDescent="0.3">
      <c r="A125" s="539" t="s">
        <v>288</v>
      </c>
      <c r="B125" s="540" t="s">
        <v>982</v>
      </c>
      <c r="C125" s="541">
        <v>2000</v>
      </c>
      <c r="D125" s="542">
        <v>2000</v>
      </c>
      <c r="E125" s="615">
        <v>1645</v>
      </c>
      <c r="F125" s="542">
        <v>2000</v>
      </c>
      <c r="G125" s="496"/>
      <c r="H125" s="498">
        <v>0</v>
      </c>
      <c r="I125" s="498">
        <v>0</v>
      </c>
      <c r="J125" s="500">
        <v>0</v>
      </c>
      <c r="K125" s="500">
        <v>0</v>
      </c>
      <c r="L125" s="500">
        <v>0</v>
      </c>
      <c r="M125" s="500">
        <v>508.77</v>
      </c>
      <c r="N125" s="500">
        <v>508.77</v>
      </c>
      <c r="O125" s="500">
        <v>508.77</v>
      </c>
      <c r="P125" s="500">
        <v>508.77</v>
      </c>
      <c r="Q125" s="500">
        <v>879.52</v>
      </c>
      <c r="R125" s="500">
        <v>879.52</v>
      </c>
      <c r="S125" s="500"/>
      <c r="T125" s="728">
        <v>1208.06</v>
      </c>
    </row>
    <row r="126" spans="1:22" x14ac:dyDescent="0.3">
      <c r="A126" s="539" t="s">
        <v>290</v>
      </c>
      <c r="B126" s="540" t="s">
        <v>983</v>
      </c>
      <c r="C126" s="541">
        <v>2000</v>
      </c>
      <c r="D126" s="542">
        <v>2000</v>
      </c>
      <c r="E126" s="615">
        <v>0</v>
      </c>
      <c r="F126" s="542">
        <v>2000</v>
      </c>
      <c r="G126" s="496"/>
      <c r="H126" s="498">
        <v>0</v>
      </c>
      <c r="I126" s="498">
        <v>0</v>
      </c>
      <c r="J126" s="500">
        <v>0</v>
      </c>
      <c r="K126" s="500">
        <v>0</v>
      </c>
      <c r="L126" s="500">
        <v>0</v>
      </c>
      <c r="M126" s="500">
        <v>0</v>
      </c>
      <c r="N126" s="500">
        <v>0</v>
      </c>
      <c r="O126" s="500">
        <v>0</v>
      </c>
      <c r="P126" s="500">
        <v>0</v>
      </c>
      <c r="Q126" s="500">
        <v>0</v>
      </c>
      <c r="R126" s="500">
        <v>0</v>
      </c>
      <c r="S126" s="500"/>
      <c r="T126" s="728">
        <v>0</v>
      </c>
    </row>
    <row r="127" spans="1:22" s="420" customFormat="1" x14ac:dyDescent="0.3">
      <c r="A127" s="501" t="s">
        <v>984</v>
      </c>
      <c r="B127" s="502" t="s">
        <v>985</v>
      </c>
      <c r="C127" s="503"/>
      <c r="D127" s="504"/>
      <c r="E127" s="528"/>
      <c r="F127" s="504"/>
      <c r="G127" s="504"/>
      <c r="H127" s="510"/>
      <c r="I127" s="510"/>
      <c r="J127" s="510"/>
      <c r="K127" s="511"/>
      <c r="L127" s="511"/>
      <c r="M127" s="511"/>
      <c r="N127" s="511"/>
      <c r="O127" s="510"/>
      <c r="P127" s="510"/>
      <c r="Q127" s="510"/>
      <c r="R127" s="506"/>
      <c r="S127" s="510"/>
      <c r="T127" s="733"/>
      <c r="U127" s="418"/>
      <c r="V127" s="419"/>
    </row>
    <row r="128" spans="1:22" x14ac:dyDescent="0.3">
      <c r="A128" s="539" t="s">
        <v>986</v>
      </c>
      <c r="B128" s="540" t="s">
        <v>681</v>
      </c>
      <c r="C128" s="541">
        <v>2000</v>
      </c>
      <c r="D128" s="542">
        <v>2000</v>
      </c>
      <c r="E128" s="543">
        <v>2388.3000000000002</v>
      </c>
      <c r="F128" s="542">
        <v>500</v>
      </c>
      <c r="G128" s="496"/>
      <c r="H128" s="498">
        <v>0</v>
      </c>
      <c r="I128" s="498">
        <v>0</v>
      </c>
      <c r="J128" s="498">
        <v>0</v>
      </c>
      <c r="K128" s="500">
        <v>0</v>
      </c>
      <c r="L128" s="500">
        <v>0</v>
      </c>
      <c r="M128" s="500">
        <v>0</v>
      </c>
      <c r="N128" s="500">
        <v>0</v>
      </c>
      <c r="O128" s="498">
        <v>0</v>
      </c>
      <c r="P128" s="498">
        <v>0</v>
      </c>
      <c r="Q128" s="498">
        <v>0</v>
      </c>
      <c r="R128" s="498">
        <v>0</v>
      </c>
      <c r="S128" s="508"/>
      <c r="T128" s="734">
        <v>0</v>
      </c>
      <c r="U128" s="395">
        <v>1200</v>
      </c>
    </row>
    <row r="129" spans="1:25" x14ac:dyDescent="0.3">
      <c r="A129" s="539" t="s">
        <v>987</v>
      </c>
      <c r="B129" s="540" t="s">
        <v>310</v>
      </c>
      <c r="C129" s="541">
        <v>500</v>
      </c>
      <c r="D129" s="542">
        <v>500</v>
      </c>
      <c r="E129" s="543">
        <v>0</v>
      </c>
      <c r="F129" s="542">
        <v>200</v>
      </c>
      <c r="G129" s="496"/>
      <c r="H129" s="498">
        <v>0</v>
      </c>
      <c r="I129" s="498">
        <v>0</v>
      </c>
      <c r="J129" s="498">
        <v>0</v>
      </c>
      <c r="K129" s="500">
        <v>0</v>
      </c>
      <c r="L129" s="500">
        <v>0</v>
      </c>
      <c r="M129" s="500">
        <v>0</v>
      </c>
      <c r="N129" s="500">
        <v>0</v>
      </c>
      <c r="O129" s="498">
        <v>0</v>
      </c>
      <c r="P129" s="498">
        <v>0</v>
      </c>
      <c r="Q129" s="498">
        <v>0</v>
      </c>
      <c r="R129" s="498">
        <v>0</v>
      </c>
      <c r="S129" s="498"/>
      <c r="T129" s="734">
        <v>0</v>
      </c>
      <c r="U129" s="395" t="s">
        <v>323</v>
      </c>
      <c r="Y129" s="567">
        <f>F128+F129+F130+F134+F156+F164+F165+F173</f>
        <v>13500</v>
      </c>
    </row>
    <row r="130" spans="1:25" x14ac:dyDescent="0.3">
      <c r="A130" s="539" t="s">
        <v>988</v>
      </c>
      <c r="B130" s="540" t="s">
        <v>989</v>
      </c>
      <c r="C130" s="541">
        <v>18000</v>
      </c>
      <c r="D130" s="542">
        <v>18000</v>
      </c>
      <c r="E130" s="543">
        <v>17625</v>
      </c>
      <c r="F130" s="542">
        <v>500</v>
      </c>
      <c r="G130" s="496"/>
      <c r="H130" s="498">
        <v>0</v>
      </c>
      <c r="I130" s="498">
        <v>0</v>
      </c>
      <c r="J130" s="498">
        <v>480</v>
      </c>
      <c r="K130" s="500">
        <v>480</v>
      </c>
      <c r="L130" s="500">
        <v>480</v>
      </c>
      <c r="M130" s="500">
        <v>480</v>
      </c>
      <c r="N130" s="500">
        <v>480</v>
      </c>
      <c r="O130" s="498">
        <v>480</v>
      </c>
      <c r="P130" s="498">
        <v>480</v>
      </c>
      <c r="Q130" s="498">
        <v>480</v>
      </c>
      <c r="R130" s="498">
        <v>480</v>
      </c>
      <c r="S130" s="498"/>
      <c r="T130" s="734">
        <v>480</v>
      </c>
    </row>
    <row r="131" spans="1:25" s="420" customFormat="1" x14ac:dyDescent="0.3">
      <c r="A131" s="501" t="s">
        <v>990</v>
      </c>
      <c r="B131" s="502" t="s">
        <v>991</v>
      </c>
      <c r="C131" s="503"/>
      <c r="D131" s="504"/>
      <c r="E131" s="518"/>
      <c r="F131" s="504"/>
      <c r="G131" s="504"/>
      <c r="H131" s="510"/>
      <c r="I131" s="510"/>
      <c r="J131" s="510"/>
      <c r="K131" s="511"/>
      <c r="L131" s="511"/>
      <c r="M131" s="511"/>
      <c r="N131" s="511"/>
      <c r="O131" s="510"/>
      <c r="P131" s="510"/>
      <c r="Q131" s="510"/>
      <c r="R131" s="506"/>
      <c r="S131" s="510"/>
      <c r="T131" s="732"/>
      <c r="U131" s="418"/>
      <c r="V131" s="419"/>
    </row>
    <row r="132" spans="1:25" x14ac:dyDescent="0.3">
      <c r="A132" s="621" t="s">
        <v>992</v>
      </c>
      <c r="B132" s="622" t="s">
        <v>993</v>
      </c>
      <c r="C132" s="541">
        <v>300</v>
      </c>
      <c r="D132" s="542">
        <v>300</v>
      </c>
      <c r="E132" s="543">
        <v>0</v>
      </c>
      <c r="F132" s="542">
        <v>500</v>
      </c>
      <c r="G132" s="496"/>
      <c r="H132" s="498">
        <v>0</v>
      </c>
      <c r="I132" s="498">
        <v>0</v>
      </c>
      <c r="J132" s="498">
        <v>0</v>
      </c>
      <c r="K132" s="500">
        <v>0</v>
      </c>
      <c r="L132" s="500">
        <v>0</v>
      </c>
      <c r="M132" s="500">
        <v>0</v>
      </c>
      <c r="N132" s="500">
        <v>0</v>
      </c>
      <c r="O132" s="498">
        <v>0</v>
      </c>
      <c r="P132" s="498">
        <v>0</v>
      </c>
      <c r="Q132" s="498">
        <v>0</v>
      </c>
      <c r="R132" s="498">
        <v>0</v>
      </c>
      <c r="S132" s="498"/>
      <c r="T132" s="734">
        <v>0</v>
      </c>
    </row>
    <row r="133" spans="1:25" x14ac:dyDescent="0.3">
      <c r="A133" s="621" t="s">
        <v>994</v>
      </c>
      <c r="B133" s="622" t="s">
        <v>995</v>
      </c>
      <c r="C133" s="495">
        <v>1000</v>
      </c>
      <c r="D133" s="496">
        <v>1000</v>
      </c>
      <c r="E133" s="497">
        <v>0</v>
      </c>
      <c r="F133" s="542">
        <v>500</v>
      </c>
      <c r="G133" s="496"/>
      <c r="H133" s="498">
        <v>0</v>
      </c>
      <c r="I133" s="498">
        <v>0</v>
      </c>
      <c r="J133" s="498">
        <v>0</v>
      </c>
      <c r="K133" s="500">
        <v>0</v>
      </c>
      <c r="L133" s="500">
        <v>0</v>
      </c>
      <c r="M133" s="500">
        <v>0</v>
      </c>
      <c r="N133" s="500">
        <v>0</v>
      </c>
      <c r="O133" s="498">
        <v>0</v>
      </c>
      <c r="P133" s="498">
        <v>0</v>
      </c>
      <c r="Q133" s="498">
        <v>0</v>
      </c>
      <c r="R133" s="498">
        <v>0</v>
      </c>
      <c r="S133" s="498"/>
      <c r="T133" s="734">
        <v>0</v>
      </c>
    </row>
    <row r="134" spans="1:25" x14ac:dyDescent="0.3">
      <c r="A134" s="621" t="s">
        <v>996</v>
      </c>
      <c r="B134" s="622" t="s">
        <v>997</v>
      </c>
      <c r="C134" s="541">
        <v>200</v>
      </c>
      <c r="D134" s="542">
        <v>200</v>
      </c>
      <c r="E134" s="543">
        <v>0</v>
      </c>
      <c r="F134" s="542">
        <v>800</v>
      </c>
      <c r="G134" s="496"/>
      <c r="H134" s="498">
        <v>0</v>
      </c>
      <c r="I134" s="498">
        <v>0</v>
      </c>
      <c r="J134" s="498">
        <v>0</v>
      </c>
      <c r="K134" s="500">
        <v>0</v>
      </c>
      <c r="L134" s="500">
        <v>0</v>
      </c>
      <c r="M134" s="500">
        <v>0</v>
      </c>
      <c r="N134" s="500">
        <v>0</v>
      </c>
      <c r="O134" s="498">
        <v>0</v>
      </c>
      <c r="P134" s="498">
        <v>0</v>
      </c>
      <c r="Q134" s="498">
        <v>0</v>
      </c>
      <c r="R134" s="498">
        <v>0</v>
      </c>
      <c r="S134" s="498"/>
      <c r="T134" s="734">
        <v>0</v>
      </c>
    </row>
    <row r="135" spans="1:25" x14ac:dyDescent="0.3">
      <c r="A135" s="621" t="s">
        <v>998</v>
      </c>
      <c r="B135" s="622" t="s">
        <v>999</v>
      </c>
      <c r="C135" s="541">
        <v>200</v>
      </c>
      <c r="D135" s="542">
        <v>200</v>
      </c>
      <c r="E135" s="543">
        <v>0</v>
      </c>
      <c r="F135" s="542">
        <v>100</v>
      </c>
      <c r="G135" s="496"/>
      <c r="H135" s="498">
        <v>0</v>
      </c>
      <c r="I135" s="498">
        <v>0</v>
      </c>
      <c r="J135" s="498">
        <v>0</v>
      </c>
      <c r="K135" s="500">
        <v>0</v>
      </c>
      <c r="L135" s="500">
        <v>0</v>
      </c>
      <c r="M135" s="500">
        <v>0</v>
      </c>
      <c r="N135" s="500">
        <v>0</v>
      </c>
      <c r="O135" s="498">
        <v>0</v>
      </c>
      <c r="P135" s="498">
        <v>0</v>
      </c>
      <c r="Q135" s="498">
        <v>0</v>
      </c>
      <c r="R135" s="498">
        <v>0</v>
      </c>
      <c r="S135" s="498"/>
      <c r="T135" s="734">
        <v>0</v>
      </c>
    </row>
    <row r="136" spans="1:25" x14ac:dyDescent="0.3">
      <c r="A136" s="633" t="s">
        <v>871</v>
      </c>
      <c r="B136" s="634" t="s">
        <v>1000</v>
      </c>
      <c r="C136" s="541"/>
      <c r="D136" s="542"/>
      <c r="E136" s="543"/>
      <c r="F136" s="542"/>
      <c r="G136" s="496"/>
      <c r="H136" s="498"/>
      <c r="I136" s="498"/>
      <c r="J136" s="498"/>
      <c r="K136" s="500"/>
      <c r="L136" s="500"/>
      <c r="M136" s="500"/>
      <c r="N136" s="500"/>
      <c r="O136" s="498"/>
      <c r="P136" s="498"/>
      <c r="Q136" s="498"/>
      <c r="R136" s="498"/>
      <c r="S136" s="498"/>
      <c r="T136" s="734"/>
    </row>
    <row r="137" spans="1:25" s="420" customFormat="1" x14ac:dyDescent="0.3">
      <c r="A137" s="501" t="s">
        <v>1001</v>
      </c>
      <c r="B137" s="502" t="s">
        <v>1002</v>
      </c>
      <c r="C137" s="503"/>
      <c r="D137" s="504"/>
      <c r="E137" s="518"/>
      <c r="F137" s="504"/>
      <c r="G137" s="504"/>
      <c r="H137" s="510"/>
      <c r="I137" s="510"/>
      <c r="J137" s="511"/>
      <c r="K137" s="511"/>
      <c r="L137" s="511"/>
      <c r="M137" s="511"/>
      <c r="N137" s="511"/>
      <c r="O137" s="510"/>
      <c r="P137" s="510"/>
      <c r="Q137" s="510"/>
      <c r="R137" s="506"/>
      <c r="S137" s="510"/>
      <c r="T137" s="732"/>
      <c r="U137" s="418"/>
      <c r="V137" s="419"/>
    </row>
    <row r="138" spans="1:25" s="420" customFormat="1" x14ac:dyDescent="0.3">
      <c r="A138" s="640" t="s">
        <v>1003</v>
      </c>
      <c r="B138" s="641" t="s">
        <v>1004</v>
      </c>
      <c r="C138" s="541"/>
      <c r="D138" s="542"/>
      <c r="E138" s="642"/>
      <c r="F138" s="542"/>
      <c r="G138" s="504"/>
      <c r="H138" s="510"/>
      <c r="I138" s="510"/>
      <c r="J138" s="511"/>
      <c r="K138" s="511"/>
      <c r="L138" s="511"/>
      <c r="M138" s="511"/>
      <c r="N138" s="511"/>
      <c r="O138" s="510"/>
      <c r="P138" s="510"/>
      <c r="Q138" s="510"/>
      <c r="R138" s="506"/>
      <c r="S138" s="510"/>
      <c r="T138" s="732"/>
      <c r="U138" s="418"/>
      <c r="V138" s="419"/>
    </row>
    <row r="139" spans="1:25" x14ac:dyDescent="0.3">
      <c r="A139" s="539" t="s">
        <v>432</v>
      </c>
      <c r="B139" s="540" t="s">
        <v>433</v>
      </c>
      <c r="C139" s="541">
        <v>6400</v>
      </c>
      <c r="D139" s="542">
        <v>6400</v>
      </c>
      <c r="E139" s="618">
        <v>9658.67</v>
      </c>
      <c r="F139" s="542">
        <v>800</v>
      </c>
      <c r="G139" s="496"/>
      <c r="H139" s="498">
        <v>800</v>
      </c>
      <c r="I139" s="498">
        <v>800</v>
      </c>
      <c r="J139" s="500">
        <v>800</v>
      </c>
      <c r="K139" s="500">
        <v>800</v>
      </c>
      <c r="L139" s="500">
        <v>800</v>
      </c>
      <c r="M139" s="500">
        <v>800</v>
      </c>
      <c r="N139" s="500">
        <v>800</v>
      </c>
      <c r="O139" s="500">
        <v>800</v>
      </c>
      <c r="P139" s="500">
        <v>800</v>
      </c>
      <c r="Q139" s="500">
        <v>800</v>
      </c>
      <c r="R139" s="500">
        <v>800</v>
      </c>
      <c r="S139" s="508"/>
      <c r="T139" s="728">
        <v>800</v>
      </c>
    </row>
    <row r="140" spans="1:25" x14ac:dyDescent="0.3">
      <c r="A140" s="539" t="s">
        <v>435</v>
      </c>
      <c r="B140" s="540" t="s">
        <v>436</v>
      </c>
      <c r="C140" s="541">
        <v>4000</v>
      </c>
      <c r="D140" s="542">
        <v>4000</v>
      </c>
      <c r="E140" s="615">
        <v>1915</v>
      </c>
      <c r="F140" s="542">
        <v>500</v>
      </c>
      <c r="G140" s="496"/>
      <c r="H140" s="498">
        <v>290</v>
      </c>
      <c r="I140" s="498">
        <v>535</v>
      </c>
      <c r="J140" s="500">
        <v>535</v>
      </c>
      <c r="K140" s="500">
        <v>555</v>
      </c>
      <c r="L140" s="508">
        <v>555</v>
      </c>
      <c r="M140" s="508">
        <v>555</v>
      </c>
      <c r="N140" s="508">
        <v>555</v>
      </c>
      <c r="O140" s="508">
        <v>555</v>
      </c>
      <c r="P140" s="508">
        <v>555</v>
      </c>
      <c r="Q140" s="508">
        <v>575</v>
      </c>
      <c r="R140" s="508">
        <v>575</v>
      </c>
      <c r="S140" s="500"/>
      <c r="T140" s="727">
        <v>595</v>
      </c>
    </row>
    <row r="141" spans="1:25" s="420" customFormat="1" x14ac:dyDescent="0.3">
      <c r="A141" s="640" t="s">
        <v>1005</v>
      </c>
      <c r="B141" s="641" t="s">
        <v>1006</v>
      </c>
      <c r="C141" s="541"/>
      <c r="D141" s="542"/>
      <c r="E141" s="643"/>
      <c r="F141" s="542"/>
      <c r="G141" s="504"/>
      <c r="H141" s="510"/>
      <c r="I141" s="510"/>
      <c r="J141" s="511"/>
      <c r="K141" s="529"/>
      <c r="L141" s="529"/>
      <c r="M141" s="511"/>
      <c r="N141" s="511"/>
      <c r="O141" s="511"/>
      <c r="P141" s="511"/>
      <c r="Q141" s="511"/>
      <c r="R141" s="507"/>
      <c r="S141" s="507"/>
      <c r="T141" s="730"/>
      <c r="U141" s="418"/>
      <c r="V141" s="419"/>
    </row>
    <row r="142" spans="1:25" x14ac:dyDescent="0.3">
      <c r="A142" s="539" t="s">
        <v>438</v>
      </c>
      <c r="B142" s="540" t="s">
        <v>1007</v>
      </c>
      <c r="C142" s="541">
        <v>8000</v>
      </c>
      <c r="D142" s="542">
        <v>8000</v>
      </c>
      <c r="E142" s="615">
        <v>586.5</v>
      </c>
      <c r="F142" s="542">
        <v>300</v>
      </c>
      <c r="G142" s="496"/>
      <c r="H142" s="498">
        <v>233.05</v>
      </c>
      <c r="I142" s="508">
        <v>504.35</v>
      </c>
      <c r="J142" s="508">
        <v>504.35</v>
      </c>
      <c r="K142" s="508">
        <v>504.35</v>
      </c>
      <c r="L142" s="508">
        <v>504.35</v>
      </c>
      <c r="M142" s="508">
        <v>504.35</v>
      </c>
      <c r="N142" s="508">
        <v>504.35</v>
      </c>
      <c r="O142" s="508">
        <v>504.35</v>
      </c>
      <c r="P142" s="508">
        <v>504.35</v>
      </c>
      <c r="Q142" s="508">
        <v>504.35</v>
      </c>
      <c r="R142" s="508">
        <v>504.35</v>
      </c>
      <c r="S142" s="500"/>
      <c r="T142" s="727">
        <v>504.35</v>
      </c>
    </row>
    <row r="143" spans="1:25" x14ac:dyDescent="0.3">
      <c r="A143" s="539" t="s">
        <v>441</v>
      </c>
      <c r="B143" s="540" t="s">
        <v>1008</v>
      </c>
      <c r="C143" s="541">
        <v>16000</v>
      </c>
      <c r="D143" s="542">
        <v>22000</v>
      </c>
      <c r="E143" s="615">
        <v>16585.28</v>
      </c>
      <c r="F143" s="542">
        <v>0</v>
      </c>
      <c r="G143" s="496"/>
      <c r="H143" s="498">
        <v>0</v>
      </c>
      <c r="I143" s="508">
        <v>0</v>
      </c>
      <c r="J143" s="508">
        <v>8062.25</v>
      </c>
      <c r="K143" s="508">
        <v>8062.25</v>
      </c>
      <c r="L143" s="508">
        <v>8062.25</v>
      </c>
      <c r="M143" s="508">
        <v>8062.25</v>
      </c>
      <c r="N143" s="508">
        <v>8062.25</v>
      </c>
      <c r="O143" s="508">
        <v>8062.25</v>
      </c>
      <c r="P143" s="508">
        <v>8062.25</v>
      </c>
      <c r="Q143" s="508">
        <v>8062.25</v>
      </c>
      <c r="R143" s="500">
        <v>8062.25</v>
      </c>
      <c r="S143" s="500"/>
      <c r="T143" s="728">
        <v>8062.25</v>
      </c>
    </row>
    <row r="144" spans="1:25" x14ac:dyDescent="0.3">
      <c r="A144" s="539" t="s">
        <v>1009</v>
      </c>
      <c r="B144" s="540" t="s">
        <v>1010</v>
      </c>
      <c r="C144" s="541">
        <v>5000</v>
      </c>
      <c r="D144" s="542">
        <v>5000</v>
      </c>
      <c r="E144" s="615">
        <v>24</v>
      </c>
      <c r="F144" s="542">
        <v>100</v>
      </c>
      <c r="G144" s="496"/>
      <c r="H144" s="508">
        <v>312</v>
      </c>
      <c r="I144" s="508">
        <v>312</v>
      </c>
      <c r="J144" s="508">
        <v>312</v>
      </c>
      <c r="K144" s="508">
        <v>312</v>
      </c>
      <c r="L144" s="508">
        <v>312</v>
      </c>
      <c r="M144" s="508">
        <v>312</v>
      </c>
      <c r="N144" s="508">
        <v>312</v>
      </c>
      <c r="O144" s="508">
        <v>312</v>
      </c>
      <c r="P144" s="508">
        <v>312</v>
      </c>
      <c r="Q144" s="508">
        <v>312</v>
      </c>
      <c r="R144" s="508">
        <v>312</v>
      </c>
      <c r="S144" s="500"/>
      <c r="T144" s="727">
        <v>312</v>
      </c>
    </row>
    <row r="145" spans="1:24" s="420" customFormat="1" x14ac:dyDescent="0.3">
      <c r="A145" s="640" t="s">
        <v>1011</v>
      </c>
      <c r="B145" s="641" t="s">
        <v>1012</v>
      </c>
      <c r="C145" s="541"/>
      <c r="D145" s="542"/>
      <c r="E145" s="643"/>
      <c r="F145" s="542"/>
      <c r="G145" s="504"/>
      <c r="H145" s="510"/>
      <c r="I145" s="510"/>
      <c r="J145" s="511"/>
      <c r="K145" s="511"/>
      <c r="L145" s="511"/>
      <c r="M145" s="511"/>
      <c r="N145" s="511"/>
      <c r="O145" s="511"/>
      <c r="P145" s="511"/>
      <c r="Q145" s="511"/>
      <c r="R145" s="511"/>
      <c r="S145" s="511"/>
      <c r="T145" s="730"/>
      <c r="U145" s="418"/>
      <c r="V145" s="419"/>
    </row>
    <row r="146" spans="1:24" x14ac:dyDescent="0.3">
      <c r="A146" s="539" t="s">
        <v>450</v>
      </c>
      <c r="B146" s="540" t="s">
        <v>1013</v>
      </c>
      <c r="C146" s="541">
        <v>45000</v>
      </c>
      <c r="D146" s="542">
        <v>45000</v>
      </c>
      <c r="E146" s="543">
        <v>70420.3</v>
      </c>
      <c r="F146" s="542">
        <v>0</v>
      </c>
      <c r="G146" s="496"/>
      <c r="H146" s="498">
        <v>0</v>
      </c>
      <c r="I146" s="500">
        <v>0</v>
      </c>
      <c r="J146" s="500">
        <v>0</v>
      </c>
      <c r="K146" s="500">
        <v>0</v>
      </c>
      <c r="L146" s="500">
        <v>0</v>
      </c>
      <c r="M146" s="500">
        <v>0</v>
      </c>
      <c r="N146" s="500">
        <v>0</v>
      </c>
      <c r="O146" s="500">
        <v>0</v>
      </c>
      <c r="P146" s="498">
        <v>0</v>
      </c>
      <c r="Q146" s="498">
        <v>0</v>
      </c>
      <c r="R146" s="498">
        <v>0</v>
      </c>
      <c r="S146" s="498"/>
      <c r="T146" s="734">
        <v>0</v>
      </c>
    </row>
    <row r="147" spans="1:24" x14ac:dyDescent="0.3">
      <c r="A147" s="539" t="s">
        <v>447</v>
      </c>
      <c r="B147" s="540" t="s">
        <v>1014</v>
      </c>
      <c r="C147" s="541">
        <v>35000</v>
      </c>
      <c r="D147" s="542">
        <v>35000</v>
      </c>
      <c r="E147" s="543">
        <v>51979.53</v>
      </c>
      <c r="F147" s="542">
        <v>0</v>
      </c>
      <c r="G147" s="496"/>
      <c r="H147" s="498">
        <v>0</v>
      </c>
      <c r="I147" s="500">
        <v>0</v>
      </c>
      <c r="J147" s="500">
        <v>0</v>
      </c>
      <c r="K147" s="500">
        <v>0</v>
      </c>
      <c r="L147" s="500">
        <v>0</v>
      </c>
      <c r="M147" s="500">
        <v>0</v>
      </c>
      <c r="N147" s="500">
        <v>0</v>
      </c>
      <c r="O147" s="500">
        <v>0</v>
      </c>
      <c r="P147" s="498">
        <v>0</v>
      </c>
      <c r="Q147" s="498">
        <v>0</v>
      </c>
      <c r="R147" s="498">
        <v>0</v>
      </c>
      <c r="S147" s="498"/>
      <c r="T147" s="734">
        <v>0</v>
      </c>
    </row>
    <row r="148" spans="1:24" x14ac:dyDescent="0.3">
      <c r="A148" s="539" t="s">
        <v>1015</v>
      </c>
      <c r="B148" s="540" t="s">
        <v>457</v>
      </c>
      <c r="C148" s="541">
        <v>50000</v>
      </c>
      <c r="D148" s="542">
        <v>50000</v>
      </c>
      <c r="E148" s="543">
        <v>14533.08</v>
      </c>
      <c r="F148" s="542">
        <v>0</v>
      </c>
      <c r="G148" s="496"/>
      <c r="H148" s="508">
        <v>29218</v>
      </c>
      <c r="I148" s="508">
        <v>29218</v>
      </c>
      <c r="J148" s="508">
        <v>29218</v>
      </c>
      <c r="K148" s="508">
        <v>29218</v>
      </c>
      <c r="L148" s="508">
        <v>29218</v>
      </c>
      <c r="M148" s="508">
        <v>29218</v>
      </c>
      <c r="N148" s="508">
        <v>29218</v>
      </c>
      <c r="O148" s="508">
        <v>29218</v>
      </c>
      <c r="P148" s="508">
        <v>29218</v>
      </c>
      <c r="Q148" s="508">
        <v>29218</v>
      </c>
      <c r="R148" s="508">
        <v>29218</v>
      </c>
      <c r="S148" s="498"/>
      <c r="T148" s="727">
        <v>29218</v>
      </c>
    </row>
    <row r="149" spans="1:24" x14ac:dyDescent="0.3">
      <c r="A149" s="539" t="s">
        <v>453</v>
      </c>
      <c r="B149" s="540" t="s">
        <v>454</v>
      </c>
      <c r="C149" s="541">
        <v>25000</v>
      </c>
      <c r="D149" s="542">
        <v>15000</v>
      </c>
      <c r="E149" s="543">
        <v>0</v>
      </c>
      <c r="F149" s="542">
        <v>0</v>
      </c>
      <c r="G149" s="496"/>
      <c r="H149" s="508">
        <v>19.95</v>
      </c>
      <c r="I149" s="508">
        <v>19.95</v>
      </c>
      <c r="J149" s="508">
        <v>19.95</v>
      </c>
      <c r="K149" s="508">
        <v>19.95</v>
      </c>
      <c r="L149" s="508">
        <v>19.95</v>
      </c>
      <c r="M149" s="508">
        <v>19.95</v>
      </c>
      <c r="N149" s="508">
        <v>19.95</v>
      </c>
      <c r="O149" s="508">
        <v>19.95</v>
      </c>
      <c r="P149" s="508">
        <v>19.95</v>
      </c>
      <c r="Q149" s="508">
        <v>19.95</v>
      </c>
      <c r="R149" s="508">
        <v>19.95</v>
      </c>
      <c r="S149" s="498"/>
      <c r="T149" s="727">
        <v>19.95</v>
      </c>
    </row>
    <row r="150" spans="1:24" s="420" customFormat="1" x14ac:dyDescent="0.3">
      <c r="A150" s="501" t="s">
        <v>1016</v>
      </c>
      <c r="B150" s="502" t="s">
        <v>1017</v>
      </c>
      <c r="C150" s="503"/>
      <c r="D150" s="504"/>
      <c r="E150" s="518"/>
      <c r="F150" s="504"/>
      <c r="G150" s="504"/>
      <c r="H150" s="510"/>
      <c r="I150" s="510"/>
      <c r="J150" s="510"/>
      <c r="K150" s="510"/>
      <c r="L150" s="510"/>
      <c r="M150" s="510"/>
      <c r="N150" s="510"/>
      <c r="O150" s="510"/>
      <c r="P150" s="510"/>
      <c r="Q150" s="510"/>
      <c r="R150" s="510"/>
      <c r="S150" s="510"/>
      <c r="T150" s="732"/>
      <c r="U150" s="418"/>
      <c r="V150" s="419"/>
    </row>
    <row r="151" spans="1:24" x14ac:dyDescent="0.3">
      <c r="A151" s="539" t="s">
        <v>1018</v>
      </c>
      <c r="B151" s="540" t="s">
        <v>1019</v>
      </c>
      <c r="C151" s="495">
        <v>500</v>
      </c>
      <c r="D151" s="496">
        <v>500</v>
      </c>
      <c r="E151" s="499">
        <v>40</v>
      </c>
      <c r="F151" s="542">
        <v>250</v>
      </c>
      <c r="G151" s="496"/>
      <c r="H151" s="500">
        <v>0</v>
      </c>
      <c r="I151" s="500">
        <v>0</v>
      </c>
      <c r="J151" s="500">
        <v>0</v>
      </c>
      <c r="K151" s="500">
        <v>40</v>
      </c>
      <c r="L151" s="500">
        <v>40</v>
      </c>
      <c r="M151" s="500">
        <v>40</v>
      </c>
      <c r="N151" s="500">
        <v>40</v>
      </c>
      <c r="O151" s="500">
        <v>40</v>
      </c>
      <c r="P151" s="500">
        <v>40</v>
      </c>
      <c r="Q151" s="500">
        <v>40</v>
      </c>
      <c r="R151" s="500">
        <v>40</v>
      </c>
      <c r="S151" s="500"/>
      <c r="T151" s="728">
        <v>40</v>
      </c>
    </row>
    <row r="152" spans="1:24" x14ac:dyDescent="0.3">
      <c r="A152" s="539" t="s">
        <v>1020</v>
      </c>
      <c r="B152" s="540" t="s">
        <v>1021</v>
      </c>
      <c r="C152" s="495">
        <v>1500</v>
      </c>
      <c r="D152" s="496">
        <v>1500</v>
      </c>
      <c r="E152" s="499">
        <v>213.6</v>
      </c>
      <c r="F152" s="542">
        <v>1000</v>
      </c>
      <c r="G152" s="496"/>
      <c r="H152" s="500">
        <v>0</v>
      </c>
      <c r="I152" s="500">
        <v>0</v>
      </c>
      <c r="J152" s="500">
        <v>0</v>
      </c>
      <c r="K152" s="500">
        <v>130.19999999999999</v>
      </c>
      <c r="L152" s="500">
        <v>130.19999999999999</v>
      </c>
      <c r="M152" s="500">
        <v>130.19999999999999</v>
      </c>
      <c r="N152" s="500">
        <v>130.19999999999999</v>
      </c>
      <c r="O152" s="500">
        <v>130.19999999999999</v>
      </c>
      <c r="P152" s="500">
        <v>130.19999999999999</v>
      </c>
      <c r="Q152" s="500">
        <v>130.19999999999999</v>
      </c>
      <c r="R152" s="500">
        <v>130.19999999999999</v>
      </c>
      <c r="S152" s="500"/>
      <c r="T152" s="728">
        <v>130.19999999999999</v>
      </c>
    </row>
    <row r="153" spans="1:24" x14ac:dyDescent="0.3">
      <c r="A153" s="539" t="s">
        <v>1022</v>
      </c>
      <c r="B153" s="540" t="s">
        <v>1023</v>
      </c>
      <c r="C153" s="541">
        <v>7000</v>
      </c>
      <c r="D153" s="542">
        <v>7000</v>
      </c>
      <c r="E153" s="615">
        <v>6167.2</v>
      </c>
      <c r="F153" s="542">
        <v>5000</v>
      </c>
      <c r="G153" s="496"/>
      <c r="H153" s="500">
        <v>1617.2</v>
      </c>
      <c r="I153" s="500">
        <v>3282.2</v>
      </c>
      <c r="J153" s="500">
        <v>4327.2</v>
      </c>
      <c r="K153" s="500">
        <v>4327.2</v>
      </c>
      <c r="L153" s="500">
        <v>4327.2</v>
      </c>
      <c r="M153" s="500">
        <v>4327.2</v>
      </c>
      <c r="N153" s="500">
        <v>4327.2</v>
      </c>
      <c r="O153" s="500">
        <v>4327.2</v>
      </c>
      <c r="P153" s="500">
        <v>4327.2</v>
      </c>
      <c r="Q153" s="500">
        <v>4462.2</v>
      </c>
      <c r="R153" s="500">
        <v>4462.2</v>
      </c>
      <c r="S153" s="500"/>
      <c r="T153" s="728">
        <v>4462.2</v>
      </c>
    </row>
    <row r="154" spans="1:24" x14ac:dyDescent="0.3">
      <c r="A154" s="539" t="s">
        <v>1024</v>
      </c>
      <c r="B154" s="540" t="s">
        <v>1025</v>
      </c>
      <c r="C154" s="541">
        <v>3000</v>
      </c>
      <c r="D154" s="542">
        <v>3000</v>
      </c>
      <c r="E154" s="615">
        <v>456.13</v>
      </c>
      <c r="F154" s="542">
        <v>500</v>
      </c>
      <c r="G154" s="496"/>
      <c r="H154" s="500">
        <v>39</v>
      </c>
      <c r="I154" s="500">
        <v>78</v>
      </c>
      <c r="J154" s="500">
        <v>117</v>
      </c>
      <c r="K154" s="500">
        <v>156</v>
      </c>
      <c r="L154" s="500">
        <v>195</v>
      </c>
      <c r="M154" s="500">
        <v>234</v>
      </c>
      <c r="N154" s="500">
        <v>234</v>
      </c>
      <c r="O154" s="500">
        <v>273</v>
      </c>
      <c r="P154" s="500">
        <v>312</v>
      </c>
      <c r="Q154" s="500">
        <v>351</v>
      </c>
      <c r="R154" s="500">
        <v>390</v>
      </c>
      <c r="S154" s="500"/>
      <c r="T154" s="728">
        <v>468</v>
      </c>
      <c r="U154" s="395" t="s">
        <v>326</v>
      </c>
      <c r="X154" s="567">
        <f>F132+F154+F155+F162+F163+F174</f>
        <v>22000</v>
      </c>
    </row>
    <row r="155" spans="1:24" x14ac:dyDescent="0.3">
      <c r="A155" s="539" t="s">
        <v>1026</v>
      </c>
      <c r="B155" s="540" t="s">
        <v>1027</v>
      </c>
      <c r="C155" s="541">
        <v>10000</v>
      </c>
      <c r="D155" s="542">
        <v>5000</v>
      </c>
      <c r="E155" s="615">
        <v>0</v>
      </c>
      <c r="F155" s="542">
        <v>1500</v>
      </c>
      <c r="G155" s="496"/>
      <c r="H155" s="500">
        <v>0</v>
      </c>
      <c r="I155" s="500">
        <v>0</v>
      </c>
      <c r="J155" s="500">
        <v>0</v>
      </c>
      <c r="K155" s="500">
        <v>0</v>
      </c>
      <c r="L155" s="500">
        <v>0</v>
      </c>
      <c r="M155" s="500">
        <v>0</v>
      </c>
      <c r="N155" s="500">
        <v>0</v>
      </c>
      <c r="O155" s="500">
        <v>0</v>
      </c>
      <c r="P155" s="500">
        <v>0</v>
      </c>
      <c r="Q155" s="500">
        <v>0</v>
      </c>
      <c r="R155" s="500">
        <v>0</v>
      </c>
      <c r="S155" s="500"/>
      <c r="T155" s="728">
        <v>0</v>
      </c>
    </row>
    <row r="156" spans="1:24" x14ac:dyDescent="0.3">
      <c r="A156" s="539" t="s">
        <v>1028</v>
      </c>
      <c r="B156" s="540" t="s">
        <v>1029</v>
      </c>
      <c r="C156" s="541">
        <v>5000</v>
      </c>
      <c r="D156" s="542">
        <v>5000</v>
      </c>
      <c r="E156" s="615">
        <v>0</v>
      </c>
      <c r="F156" s="542">
        <v>500</v>
      </c>
      <c r="G156" s="496"/>
      <c r="H156" s="500">
        <v>0</v>
      </c>
      <c r="I156" s="500">
        <v>0</v>
      </c>
      <c r="J156" s="500">
        <v>0</v>
      </c>
      <c r="K156" s="500">
        <v>0</v>
      </c>
      <c r="L156" s="500">
        <v>0</v>
      </c>
      <c r="M156" s="500">
        <v>0</v>
      </c>
      <c r="N156" s="500">
        <v>0</v>
      </c>
      <c r="O156" s="500">
        <v>0</v>
      </c>
      <c r="P156" s="500">
        <v>0</v>
      </c>
      <c r="Q156" s="500">
        <v>0</v>
      </c>
      <c r="R156" s="500">
        <v>0</v>
      </c>
      <c r="S156" s="500"/>
      <c r="T156" s="728">
        <v>0</v>
      </c>
    </row>
    <row r="157" spans="1:24" x14ac:dyDescent="0.3">
      <c r="A157" s="644" t="s">
        <v>1030</v>
      </c>
      <c r="B157" s="540" t="s">
        <v>1031</v>
      </c>
      <c r="C157" s="541"/>
      <c r="D157" s="542"/>
      <c r="E157" s="643"/>
      <c r="F157" s="542"/>
      <c r="G157" s="504"/>
      <c r="H157" s="506"/>
      <c r="I157" s="530"/>
      <c r="J157" s="530"/>
      <c r="K157" s="530"/>
      <c r="L157" s="530"/>
      <c r="M157" s="507"/>
      <c r="N157" s="507"/>
      <c r="O157" s="507"/>
      <c r="P157" s="511"/>
      <c r="Q157" s="511"/>
      <c r="R157" s="511"/>
      <c r="S157" s="511"/>
      <c r="T157" s="730"/>
    </row>
    <row r="158" spans="1:24" s="420" customFormat="1" x14ac:dyDescent="0.3">
      <c r="A158" s="501" t="s">
        <v>1032</v>
      </c>
      <c r="B158" s="502" t="s">
        <v>1033</v>
      </c>
      <c r="C158" s="503"/>
      <c r="D158" s="504"/>
      <c r="E158" s="518"/>
      <c r="F158" s="504"/>
      <c r="G158" s="504"/>
      <c r="H158" s="510"/>
      <c r="I158" s="510"/>
      <c r="J158" s="510"/>
      <c r="K158" s="510"/>
      <c r="L158" s="510"/>
      <c r="M158" s="510"/>
      <c r="N158" s="510"/>
      <c r="O158" s="510"/>
      <c r="P158" s="510"/>
      <c r="Q158" s="510"/>
      <c r="R158" s="510"/>
      <c r="S158" s="510"/>
      <c r="T158" s="732"/>
      <c r="U158" s="418"/>
      <c r="V158" s="419"/>
    </row>
    <row r="159" spans="1:24" x14ac:dyDescent="0.3">
      <c r="A159" s="539" t="s">
        <v>1034</v>
      </c>
      <c r="B159" s="540" t="s">
        <v>1035</v>
      </c>
      <c r="C159" s="495">
        <v>500</v>
      </c>
      <c r="D159" s="496">
        <v>500</v>
      </c>
      <c r="E159" s="497">
        <v>0</v>
      </c>
      <c r="F159" s="542">
        <v>200</v>
      </c>
      <c r="G159" s="496"/>
      <c r="H159" s="498">
        <v>0</v>
      </c>
      <c r="I159" s="498">
        <v>0</v>
      </c>
      <c r="J159" s="498">
        <v>0</v>
      </c>
      <c r="K159" s="498">
        <v>0</v>
      </c>
      <c r="L159" s="498">
        <v>0</v>
      </c>
      <c r="M159" s="498">
        <v>0</v>
      </c>
      <c r="N159" s="498">
        <v>0</v>
      </c>
      <c r="O159" s="498">
        <v>0</v>
      </c>
      <c r="P159" s="498">
        <v>0</v>
      </c>
      <c r="Q159" s="498">
        <v>0</v>
      </c>
      <c r="R159" s="498">
        <v>0</v>
      </c>
      <c r="S159" s="498"/>
      <c r="T159" s="734">
        <v>0</v>
      </c>
    </row>
    <row r="160" spans="1:24" x14ac:dyDescent="0.3">
      <c r="A160" s="539" t="s">
        <v>1036</v>
      </c>
      <c r="B160" s="540" t="s">
        <v>1037</v>
      </c>
      <c r="C160" s="495">
        <v>2000</v>
      </c>
      <c r="D160" s="496">
        <v>2000</v>
      </c>
      <c r="E160" s="497">
        <v>0</v>
      </c>
      <c r="F160" s="542">
        <v>1500</v>
      </c>
      <c r="G160" s="496"/>
      <c r="H160" s="498">
        <v>0</v>
      </c>
      <c r="I160" s="498">
        <v>0</v>
      </c>
      <c r="J160" s="498">
        <v>0</v>
      </c>
      <c r="K160" s="498">
        <v>0</v>
      </c>
      <c r="L160" s="498">
        <v>0</v>
      </c>
      <c r="M160" s="498">
        <v>0</v>
      </c>
      <c r="N160" s="498">
        <v>0</v>
      </c>
      <c r="O160" s="498">
        <v>0</v>
      </c>
      <c r="P160" s="498">
        <v>0</v>
      </c>
      <c r="Q160" s="498">
        <v>0</v>
      </c>
      <c r="R160" s="498">
        <v>0</v>
      </c>
      <c r="S160" s="498"/>
      <c r="T160" s="734">
        <v>0</v>
      </c>
    </row>
    <row r="161" spans="1:23" x14ac:dyDescent="0.3">
      <c r="A161" s="539" t="s">
        <v>1038</v>
      </c>
      <c r="B161" s="540" t="s">
        <v>1039</v>
      </c>
      <c r="C161" s="541">
        <v>3000</v>
      </c>
      <c r="D161" s="542">
        <v>2000</v>
      </c>
      <c r="E161" s="543">
        <v>0</v>
      </c>
      <c r="F161" s="542">
        <v>2500</v>
      </c>
      <c r="G161" s="496"/>
      <c r="H161" s="498">
        <v>0</v>
      </c>
      <c r="I161" s="498">
        <v>0</v>
      </c>
      <c r="J161" s="498">
        <v>0</v>
      </c>
      <c r="K161" s="498">
        <v>0</v>
      </c>
      <c r="L161" s="498">
        <v>0</v>
      </c>
      <c r="M161" s="498">
        <v>0</v>
      </c>
      <c r="N161" s="498">
        <v>0</v>
      </c>
      <c r="O161" s="498">
        <v>0</v>
      </c>
      <c r="P161" s="498">
        <v>0</v>
      </c>
      <c r="Q161" s="498">
        <v>0</v>
      </c>
      <c r="R161" s="498">
        <v>0</v>
      </c>
      <c r="S161" s="498"/>
      <c r="T161" s="734">
        <v>0</v>
      </c>
      <c r="U161" s="741">
        <v>5000</v>
      </c>
    </row>
    <row r="162" spans="1:23" x14ac:dyDescent="0.3">
      <c r="A162" s="539" t="s">
        <v>1040</v>
      </c>
      <c r="B162" s="540" t="s">
        <v>1041</v>
      </c>
      <c r="C162" s="541">
        <v>5000</v>
      </c>
      <c r="D162" s="542">
        <v>1000</v>
      </c>
      <c r="E162" s="543">
        <v>0</v>
      </c>
      <c r="F162" s="542">
        <v>2500</v>
      </c>
      <c r="G162" s="496"/>
      <c r="H162" s="498">
        <v>0</v>
      </c>
      <c r="I162" s="498">
        <v>0</v>
      </c>
      <c r="J162" s="498">
        <v>0</v>
      </c>
      <c r="K162" s="498">
        <v>0</v>
      </c>
      <c r="L162" s="498">
        <v>0</v>
      </c>
      <c r="M162" s="498">
        <v>0</v>
      </c>
      <c r="N162" s="498">
        <v>0</v>
      </c>
      <c r="O162" s="498">
        <v>0</v>
      </c>
      <c r="P162" s="498">
        <v>0</v>
      </c>
      <c r="Q162" s="498">
        <v>0</v>
      </c>
      <c r="R162" s="498">
        <v>0</v>
      </c>
      <c r="S162" s="498"/>
      <c r="T162" s="734">
        <v>0</v>
      </c>
      <c r="U162" s="741">
        <v>2500</v>
      </c>
    </row>
    <row r="163" spans="1:23" x14ac:dyDescent="0.3">
      <c r="A163" s="539" t="s">
        <v>1042</v>
      </c>
      <c r="B163" s="540" t="s">
        <v>1043</v>
      </c>
      <c r="C163" s="541">
        <v>9000</v>
      </c>
      <c r="D163" s="542">
        <v>4000</v>
      </c>
      <c r="E163" s="543">
        <v>0</v>
      </c>
      <c r="F163" s="542">
        <v>10000</v>
      </c>
      <c r="G163" s="496"/>
      <c r="H163" s="498">
        <v>0</v>
      </c>
      <c r="I163" s="498">
        <v>0</v>
      </c>
      <c r="J163" s="498">
        <v>0</v>
      </c>
      <c r="K163" s="498">
        <v>0</v>
      </c>
      <c r="L163" s="498">
        <v>0</v>
      </c>
      <c r="M163" s="498">
        <v>0</v>
      </c>
      <c r="N163" s="498">
        <v>0</v>
      </c>
      <c r="O163" s="498">
        <v>0</v>
      </c>
      <c r="P163" s="498">
        <v>0</v>
      </c>
      <c r="Q163" s="498">
        <v>0</v>
      </c>
      <c r="R163" s="498">
        <v>0</v>
      </c>
      <c r="S163" s="498"/>
      <c r="T163" s="734">
        <v>0</v>
      </c>
      <c r="U163" s="741">
        <v>4000</v>
      </c>
    </row>
    <row r="164" spans="1:23" x14ac:dyDescent="0.3">
      <c r="A164" s="539" t="s">
        <v>1044</v>
      </c>
      <c r="B164" s="540" t="s">
        <v>1045</v>
      </c>
      <c r="C164" s="541">
        <v>6000</v>
      </c>
      <c r="D164" s="542">
        <v>1000</v>
      </c>
      <c r="E164" s="543">
        <v>0</v>
      </c>
      <c r="F164" s="542">
        <v>4000</v>
      </c>
      <c r="G164" s="496"/>
      <c r="H164" s="498">
        <v>0</v>
      </c>
      <c r="I164" s="498">
        <v>0</v>
      </c>
      <c r="J164" s="498">
        <v>0</v>
      </c>
      <c r="K164" s="498">
        <v>0</v>
      </c>
      <c r="L164" s="498">
        <v>0</v>
      </c>
      <c r="M164" s="498">
        <v>0</v>
      </c>
      <c r="N164" s="498">
        <v>0</v>
      </c>
      <c r="O164" s="498">
        <v>0</v>
      </c>
      <c r="P164" s="498">
        <v>0</v>
      </c>
      <c r="Q164" s="498">
        <v>0</v>
      </c>
      <c r="R164" s="498">
        <v>0</v>
      </c>
      <c r="S164" s="498"/>
      <c r="T164" s="734">
        <v>0</v>
      </c>
      <c r="U164" s="395">
        <f>SUM(U161:U163)</f>
        <v>11500</v>
      </c>
    </row>
    <row r="165" spans="1:23" s="420" customFormat="1" x14ac:dyDescent="0.3">
      <c r="A165" s="421" t="s">
        <v>1046</v>
      </c>
      <c r="B165" s="638" t="s">
        <v>670</v>
      </c>
      <c r="C165" s="541">
        <v>1500</v>
      </c>
      <c r="D165" s="542">
        <v>1500</v>
      </c>
      <c r="E165" s="543">
        <v>0</v>
      </c>
      <c r="F165" s="542">
        <v>1000</v>
      </c>
      <c r="G165" s="504"/>
      <c r="H165" s="506"/>
      <c r="I165" s="506"/>
      <c r="J165" s="506"/>
      <c r="K165" s="506">
        <v>0</v>
      </c>
      <c r="L165" s="506">
        <v>0</v>
      </c>
      <c r="M165" s="506">
        <v>0</v>
      </c>
      <c r="N165" s="506">
        <v>61</v>
      </c>
      <c r="O165" s="506">
        <v>61</v>
      </c>
      <c r="P165" s="506">
        <v>61</v>
      </c>
      <c r="Q165" s="506">
        <v>61</v>
      </c>
      <c r="R165" s="506">
        <v>61</v>
      </c>
      <c r="S165" s="506"/>
      <c r="T165" s="733">
        <v>61</v>
      </c>
      <c r="U165" s="418"/>
      <c r="V165" s="419"/>
    </row>
    <row r="166" spans="1:23" x14ac:dyDescent="0.3">
      <c r="A166" s="645" t="s">
        <v>1030</v>
      </c>
      <c r="B166" s="639" t="s">
        <v>1047</v>
      </c>
      <c r="C166" s="541">
        <v>0</v>
      </c>
      <c r="D166" s="542">
        <v>0</v>
      </c>
      <c r="E166" s="543">
        <v>0</v>
      </c>
      <c r="F166" s="542">
        <v>0</v>
      </c>
      <c r="G166" s="496"/>
      <c r="H166" s="498">
        <v>0</v>
      </c>
      <c r="I166" s="498">
        <v>0</v>
      </c>
      <c r="J166" s="498">
        <v>0</v>
      </c>
      <c r="K166" s="498">
        <v>0</v>
      </c>
      <c r="L166" s="498">
        <v>0</v>
      </c>
      <c r="M166" s="498">
        <v>0</v>
      </c>
      <c r="N166" s="498">
        <v>0</v>
      </c>
      <c r="O166" s="498">
        <v>0</v>
      </c>
      <c r="P166" s="498">
        <v>0</v>
      </c>
      <c r="Q166" s="498">
        <v>0</v>
      </c>
      <c r="R166" s="498">
        <v>0</v>
      </c>
      <c r="S166" s="498"/>
      <c r="T166" s="734">
        <v>0</v>
      </c>
    </row>
    <row r="167" spans="1:23" s="533" customFormat="1" x14ac:dyDescent="0.3">
      <c r="A167" s="421" t="s">
        <v>1048</v>
      </c>
      <c r="B167" s="638" t="s">
        <v>1049</v>
      </c>
      <c r="C167" s="541">
        <v>500</v>
      </c>
      <c r="D167" s="542">
        <v>500</v>
      </c>
      <c r="E167" s="615">
        <v>0</v>
      </c>
      <c r="F167" s="542">
        <v>500</v>
      </c>
      <c r="G167" s="504"/>
      <c r="H167" s="507">
        <v>0</v>
      </c>
      <c r="I167" s="507">
        <v>0</v>
      </c>
      <c r="J167" s="507">
        <v>0</v>
      </c>
      <c r="K167" s="507">
        <v>0</v>
      </c>
      <c r="L167" s="507">
        <v>0</v>
      </c>
      <c r="M167" s="507">
        <v>0</v>
      </c>
      <c r="N167" s="507">
        <v>0</v>
      </c>
      <c r="O167" s="507">
        <v>0</v>
      </c>
      <c r="P167" s="507">
        <v>0</v>
      </c>
      <c r="Q167" s="507">
        <v>0</v>
      </c>
      <c r="R167" s="507">
        <v>0</v>
      </c>
      <c r="S167" s="507"/>
      <c r="T167" s="729">
        <v>0</v>
      </c>
      <c r="U167" s="532"/>
      <c r="V167" s="419"/>
    </row>
    <row r="168" spans="1:23" s="420" customFormat="1" x14ac:dyDescent="0.3">
      <c r="A168" s="501" t="s">
        <v>1050</v>
      </c>
      <c r="B168" s="502" t="s">
        <v>1051</v>
      </c>
      <c r="C168" s="503"/>
      <c r="D168" s="504"/>
      <c r="E168" s="518"/>
      <c r="F168" s="504"/>
      <c r="G168" s="504"/>
      <c r="H168" s="510"/>
      <c r="I168" s="510"/>
      <c r="J168" s="510"/>
      <c r="K168" s="510"/>
      <c r="L168" s="510"/>
      <c r="M168" s="510"/>
      <c r="N168" s="510"/>
      <c r="O168" s="510"/>
      <c r="P168" s="510"/>
      <c r="Q168" s="510"/>
      <c r="R168" s="510"/>
      <c r="S168" s="510"/>
      <c r="T168" s="732"/>
      <c r="U168" s="418"/>
      <c r="V168" s="419"/>
    </row>
    <row r="169" spans="1:23" x14ac:dyDescent="0.3">
      <c r="A169" s="539" t="s">
        <v>313</v>
      </c>
      <c r="B169" s="540" t="s">
        <v>1052</v>
      </c>
      <c r="C169" s="495">
        <v>500</v>
      </c>
      <c r="D169" s="496">
        <v>500</v>
      </c>
      <c r="E169" s="497">
        <v>0</v>
      </c>
      <c r="F169" s="542">
        <v>500</v>
      </c>
      <c r="G169" s="496"/>
      <c r="H169" s="498">
        <v>0</v>
      </c>
      <c r="I169" s="498">
        <v>0</v>
      </c>
      <c r="J169" s="498">
        <v>0</v>
      </c>
      <c r="K169" s="498">
        <v>0</v>
      </c>
      <c r="L169" s="498">
        <v>0</v>
      </c>
      <c r="M169" s="498">
        <v>0</v>
      </c>
      <c r="N169" s="498">
        <v>0</v>
      </c>
      <c r="O169" s="498">
        <v>0</v>
      </c>
      <c r="P169" s="498">
        <v>0</v>
      </c>
      <c r="Q169" s="498">
        <v>0</v>
      </c>
      <c r="R169" s="498">
        <v>0</v>
      </c>
      <c r="S169" s="498"/>
      <c r="T169" s="734">
        <v>0</v>
      </c>
    </row>
    <row r="170" spans="1:23" x14ac:dyDescent="0.3">
      <c r="A170" s="539" t="s">
        <v>1053</v>
      </c>
      <c r="B170" s="540" t="s">
        <v>1054</v>
      </c>
      <c r="C170" s="495">
        <v>1000</v>
      </c>
      <c r="D170" s="496">
        <v>1000</v>
      </c>
      <c r="E170" s="497">
        <v>0</v>
      </c>
      <c r="F170" s="542">
        <v>4000</v>
      </c>
      <c r="G170" s="496"/>
      <c r="H170" s="498">
        <v>0</v>
      </c>
      <c r="I170" s="498">
        <v>0</v>
      </c>
      <c r="J170" s="498">
        <v>0</v>
      </c>
      <c r="K170" s="498">
        <v>0</v>
      </c>
      <c r="L170" s="498">
        <v>0</v>
      </c>
      <c r="M170" s="498">
        <v>0</v>
      </c>
      <c r="N170" s="498">
        <v>0</v>
      </c>
      <c r="O170" s="498">
        <v>0</v>
      </c>
      <c r="P170" s="498">
        <v>0</v>
      </c>
      <c r="Q170" s="498">
        <v>0</v>
      </c>
      <c r="R170" s="498">
        <v>0</v>
      </c>
      <c r="S170" s="498"/>
      <c r="T170" s="734">
        <v>0</v>
      </c>
    </row>
    <row r="171" spans="1:23" x14ac:dyDescent="0.3">
      <c r="A171" s="539" t="s">
        <v>1055</v>
      </c>
      <c r="B171" s="639" t="s">
        <v>1056</v>
      </c>
      <c r="C171" s="541">
        <v>5000</v>
      </c>
      <c r="D171" s="542">
        <v>5000</v>
      </c>
      <c r="E171" s="615">
        <v>406</v>
      </c>
      <c r="F171" s="542">
        <v>4000</v>
      </c>
      <c r="G171" s="496"/>
      <c r="H171" s="498">
        <v>0</v>
      </c>
      <c r="I171" s="498">
        <v>0</v>
      </c>
      <c r="J171" s="498">
        <v>0</v>
      </c>
      <c r="K171" s="498">
        <v>0</v>
      </c>
      <c r="L171" s="498">
        <v>0</v>
      </c>
      <c r="M171" s="498">
        <v>0</v>
      </c>
      <c r="N171" s="498">
        <v>0</v>
      </c>
      <c r="O171" s="498">
        <v>0</v>
      </c>
      <c r="P171" s="498">
        <v>0</v>
      </c>
      <c r="Q171" s="498">
        <v>0</v>
      </c>
      <c r="R171" s="498">
        <v>0</v>
      </c>
      <c r="S171" s="500"/>
      <c r="T171" s="728">
        <v>330</v>
      </c>
    </row>
    <row r="172" spans="1:23" x14ac:dyDescent="0.3">
      <c r="A172" s="539" t="s">
        <v>1057</v>
      </c>
      <c r="B172" s="540" t="s">
        <v>1058</v>
      </c>
      <c r="C172" s="541">
        <v>3000</v>
      </c>
      <c r="D172" s="542">
        <v>3000</v>
      </c>
      <c r="E172" s="543">
        <v>0</v>
      </c>
      <c r="F172" s="542">
        <v>1000</v>
      </c>
      <c r="G172" s="496"/>
      <c r="H172" s="498">
        <v>0</v>
      </c>
      <c r="I172" s="498">
        <v>0</v>
      </c>
      <c r="J172" s="498">
        <v>0</v>
      </c>
      <c r="K172" s="498">
        <v>0</v>
      </c>
      <c r="L172" s="498">
        <v>0</v>
      </c>
      <c r="M172" s="498">
        <v>0</v>
      </c>
      <c r="N172" s="498">
        <v>0</v>
      </c>
      <c r="O172" s="498">
        <v>0</v>
      </c>
      <c r="P172" s="498">
        <v>0</v>
      </c>
      <c r="Q172" s="498">
        <v>0</v>
      </c>
      <c r="R172" s="498">
        <v>0</v>
      </c>
      <c r="S172" s="498"/>
      <c r="T172" s="734">
        <v>0</v>
      </c>
    </row>
    <row r="173" spans="1:23" x14ac:dyDescent="0.3">
      <c r="A173" s="539" t="s">
        <v>1059</v>
      </c>
      <c r="B173" s="540" t="s">
        <v>1060</v>
      </c>
      <c r="C173" s="541">
        <v>3000</v>
      </c>
      <c r="D173" s="542">
        <v>3000</v>
      </c>
      <c r="E173" s="543">
        <v>0</v>
      </c>
      <c r="F173" s="542">
        <v>6000</v>
      </c>
      <c r="G173" s="496"/>
      <c r="H173" s="498">
        <v>0</v>
      </c>
      <c r="I173" s="498">
        <v>0</v>
      </c>
      <c r="J173" s="498">
        <v>0</v>
      </c>
      <c r="K173" s="498">
        <v>0</v>
      </c>
      <c r="L173" s="498">
        <v>0</v>
      </c>
      <c r="M173" s="498">
        <v>0</v>
      </c>
      <c r="N173" s="498">
        <v>0</v>
      </c>
      <c r="O173" s="498">
        <v>0</v>
      </c>
      <c r="P173" s="498">
        <v>0</v>
      </c>
      <c r="Q173" s="498">
        <v>0</v>
      </c>
      <c r="R173" s="498">
        <v>0</v>
      </c>
      <c r="S173" s="498"/>
      <c r="T173" s="734">
        <v>0</v>
      </c>
    </row>
    <row r="174" spans="1:23" x14ac:dyDescent="0.3">
      <c r="A174" s="539" t="s">
        <v>1061</v>
      </c>
      <c r="B174" s="639" t="s">
        <v>1062</v>
      </c>
      <c r="C174" s="541">
        <v>2000</v>
      </c>
      <c r="D174" s="542">
        <v>2000</v>
      </c>
      <c r="E174" s="615">
        <v>0</v>
      </c>
      <c r="F174" s="542">
        <v>7000</v>
      </c>
      <c r="G174" s="496"/>
      <c r="H174" s="498">
        <v>0</v>
      </c>
      <c r="I174" s="498">
        <v>0</v>
      </c>
      <c r="J174" s="498">
        <v>0</v>
      </c>
      <c r="K174" s="498">
        <v>0</v>
      </c>
      <c r="L174" s="498">
        <v>0</v>
      </c>
      <c r="M174" s="498">
        <v>0</v>
      </c>
      <c r="N174" s="498">
        <v>0</v>
      </c>
      <c r="O174" s="498">
        <v>0</v>
      </c>
      <c r="P174" s="500">
        <v>0</v>
      </c>
      <c r="Q174" s="500">
        <v>0</v>
      </c>
      <c r="R174" s="500">
        <v>0</v>
      </c>
      <c r="S174" s="500"/>
      <c r="T174" s="728">
        <v>0</v>
      </c>
    </row>
    <row r="175" spans="1:23" x14ac:dyDescent="0.3">
      <c r="A175" s="539" t="s">
        <v>1063</v>
      </c>
      <c r="B175" s="540" t="s">
        <v>1064</v>
      </c>
      <c r="C175" s="541">
        <v>4000</v>
      </c>
      <c r="D175" s="542">
        <v>4000</v>
      </c>
      <c r="E175" s="543">
        <v>151.02000000000001</v>
      </c>
      <c r="F175" s="542">
        <v>1500</v>
      </c>
      <c r="G175" s="496"/>
      <c r="H175" s="498">
        <v>0</v>
      </c>
      <c r="I175" s="498">
        <v>0</v>
      </c>
      <c r="J175" s="498">
        <v>166.48</v>
      </c>
      <c r="K175" s="498">
        <v>166.48</v>
      </c>
      <c r="L175" s="498">
        <v>166.48</v>
      </c>
      <c r="M175" s="498">
        <v>166.48</v>
      </c>
      <c r="N175" s="498">
        <v>166.48</v>
      </c>
      <c r="O175" s="498">
        <v>166.48</v>
      </c>
      <c r="P175" s="498">
        <v>166.48</v>
      </c>
      <c r="Q175" s="498">
        <v>166.48</v>
      </c>
      <c r="R175" s="498">
        <v>166.48</v>
      </c>
      <c r="S175" s="498"/>
      <c r="T175" s="734">
        <v>187.73</v>
      </c>
      <c r="U175" s="395" t="s">
        <v>331</v>
      </c>
      <c r="W175" s="567">
        <f>F135+F175+F167</f>
        <v>2100</v>
      </c>
    </row>
    <row r="176" spans="1:23" x14ac:dyDescent="0.3">
      <c r="A176" s="539" t="s">
        <v>1065</v>
      </c>
      <c r="B176" s="540" t="s">
        <v>1066</v>
      </c>
      <c r="C176" s="541">
        <v>1000</v>
      </c>
      <c r="D176" s="542">
        <v>1000</v>
      </c>
      <c r="E176" s="543">
        <v>0</v>
      </c>
      <c r="F176" s="542">
        <v>500</v>
      </c>
      <c r="G176" s="496"/>
      <c r="H176" s="498">
        <v>0</v>
      </c>
      <c r="I176" s="498">
        <v>0</v>
      </c>
      <c r="J176" s="498">
        <v>0</v>
      </c>
      <c r="K176" s="498">
        <v>0</v>
      </c>
      <c r="L176" s="498">
        <v>0</v>
      </c>
      <c r="M176" s="498">
        <v>0</v>
      </c>
      <c r="N176" s="498">
        <v>0</v>
      </c>
      <c r="O176" s="498">
        <v>0</v>
      </c>
      <c r="P176" s="498">
        <v>0</v>
      </c>
      <c r="Q176" s="498">
        <v>0</v>
      </c>
      <c r="R176" s="498">
        <v>0</v>
      </c>
      <c r="S176" s="498"/>
      <c r="T176" s="734">
        <v>0</v>
      </c>
    </row>
    <row r="177" spans="1:22" x14ac:dyDescent="0.3">
      <c r="A177" s="501" t="s">
        <v>408</v>
      </c>
      <c r="B177" s="502" t="s">
        <v>1067</v>
      </c>
      <c r="C177" s="503"/>
      <c r="D177" s="504"/>
      <c r="E177" s="528"/>
      <c r="F177" s="504"/>
      <c r="G177" s="504"/>
      <c r="H177" s="506"/>
      <c r="I177" s="506"/>
      <c r="J177" s="506"/>
      <c r="K177" s="506"/>
      <c r="L177" s="506"/>
      <c r="M177" s="506"/>
      <c r="N177" s="506"/>
      <c r="O177" s="506"/>
      <c r="P177" s="506"/>
      <c r="Q177" s="506"/>
      <c r="R177" s="506"/>
      <c r="S177" s="506"/>
      <c r="T177" s="733"/>
    </row>
    <row r="178" spans="1:22" x14ac:dyDescent="0.3">
      <c r="A178" s="539" t="s">
        <v>410</v>
      </c>
      <c r="B178" s="540" t="s">
        <v>1068</v>
      </c>
      <c r="C178" s="541">
        <v>3000</v>
      </c>
      <c r="D178" s="542">
        <v>0</v>
      </c>
      <c r="E178" s="543">
        <v>0</v>
      </c>
      <c r="F178" s="542">
        <v>0</v>
      </c>
      <c r="G178" s="496"/>
      <c r="H178" s="535">
        <v>0</v>
      </c>
      <c r="I178" s="535">
        <v>0</v>
      </c>
      <c r="J178" s="535">
        <v>0</v>
      </c>
      <c r="K178" s="535">
        <v>0</v>
      </c>
      <c r="L178" s="535">
        <v>0</v>
      </c>
      <c r="M178" s="535">
        <v>0</v>
      </c>
      <c r="N178" s="535">
        <v>0</v>
      </c>
      <c r="O178" s="535">
        <v>0</v>
      </c>
      <c r="P178" s="535">
        <v>0</v>
      </c>
      <c r="Q178" s="535">
        <v>0</v>
      </c>
      <c r="R178" s="535">
        <v>0</v>
      </c>
      <c r="S178" s="535"/>
      <c r="T178" s="735">
        <v>0</v>
      </c>
    </row>
    <row r="179" spans="1:22" x14ac:dyDescent="0.3">
      <c r="A179" s="539" t="s">
        <v>413</v>
      </c>
      <c r="B179" s="540" t="s">
        <v>1069</v>
      </c>
      <c r="C179" s="541">
        <v>0</v>
      </c>
      <c r="D179" s="542">
        <v>12000</v>
      </c>
      <c r="E179" s="543">
        <v>9901.69</v>
      </c>
      <c r="F179" s="542">
        <v>0</v>
      </c>
      <c r="G179" s="496"/>
      <c r="H179" s="535">
        <v>0</v>
      </c>
      <c r="I179" s="535">
        <v>0</v>
      </c>
      <c r="J179" s="535">
        <v>0</v>
      </c>
      <c r="K179" s="535">
        <v>0</v>
      </c>
      <c r="L179" s="535">
        <v>0</v>
      </c>
      <c r="M179" s="535">
        <v>0</v>
      </c>
      <c r="N179" s="535">
        <v>0</v>
      </c>
      <c r="O179" s="535">
        <v>0</v>
      </c>
      <c r="P179" s="535">
        <v>0</v>
      </c>
      <c r="Q179" s="535">
        <v>0</v>
      </c>
      <c r="R179" s="535">
        <v>0</v>
      </c>
      <c r="S179" s="535"/>
      <c r="T179" s="735">
        <v>0</v>
      </c>
    </row>
    <row r="180" spans="1:22" x14ac:dyDescent="0.3">
      <c r="A180" s="536"/>
      <c r="B180" s="487" t="s">
        <v>1070</v>
      </c>
      <c r="C180" s="489">
        <f t="shared" ref="C180:S180" si="4">SUM(C56:C179)</f>
        <v>822858.36</v>
      </c>
      <c r="D180" s="490">
        <f t="shared" si="4"/>
        <v>789858.36</v>
      </c>
      <c r="E180" s="516">
        <f t="shared" si="4"/>
        <v>629950.65999999992</v>
      </c>
      <c r="F180" s="490">
        <f>SUM(F56:F179)</f>
        <v>533570</v>
      </c>
      <c r="G180" s="490">
        <f t="shared" si="4"/>
        <v>0</v>
      </c>
      <c r="H180" s="537">
        <f t="shared" si="4"/>
        <v>36220.939999999995</v>
      </c>
      <c r="I180" s="537">
        <f t="shared" si="4"/>
        <v>49564.569999999992</v>
      </c>
      <c r="J180" s="537">
        <f t="shared" si="4"/>
        <v>112014.12</v>
      </c>
      <c r="K180" s="537">
        <f t="shared" si="4"/>
        <v>151091.72000000006</v>
      </c>
      <c r="L180" s="537">
        <f t="shared" si="4"/>
        <v>156131.01000000004</v>
      </c>
      <c r="M180" s="537">
        <f t="shared" si="4"/>
        <v>160295.18000000008</v>
      </c>
      <c r="N180" s="537">
        <f t="shared" si="4"/>
        <v>160682.29000000007</v>
      </c>
      <c r="O180" s="537">
        <f t="shared" si="4"/>
        <v>165697.05000000005</v>
      </c>
      <c r="P180" s="537">
        <f t="shared" si="4"/>
        <v>255500.99000000002</v>
      </c>
      <c r="Q180" s="537">
        <f t="shared" si="4"/>
        <v>258745.43000000002</v>
      </c>
      <c r="R180" s="537">
        <f t="shared" si="4"/>
        <v>333531.13999999996</v>
      </c>
      <c r="S180" s="537">
        <f t="shared" si="4"/>
        <v>0</v>
      </c>
      <c r="T180" s="736">
        <f>SUM(T56:T179)</f>
        <v>418690.32999999996</v>
      </c>
    </row>
    <row r="181" spans="1:22" x14ac:dyDescent="0.3">
      <c r="A181" s="501" t="s">
        <v>1071</v>
      </c>
      <c r="B181" s="502" t="s">
        <v>1072</v>
      </c>
      <c r="C181" s="503"/>
      <c r="D181" s="504"/>
      <c r="E181" s="528"/>
      <c r="F181" s="504"/>
      <c r="G181" s="504"/>
      <c r="H181" s="506"/>
      <c r="I181" s="506"/>
      <c r="J181" s="506"/>
      <c r="K181" s="506"/>
      <c r="L181" s="506"/>
      <c r="M181" s="506"/>
      <c r="N181" s="506"/>
      <c r="O181" s="506"/>
      <c r="P181" s="506"/>
      <c r="Q181" s="506"/>
      <c r="R181" s="506"/>
      <c r="S181" s="506"/>
      <c r="T181" s="733"/>
    </row>
    <row r="182" spans="1:22" x14ac:dyDescent="0.3">
      <c r="A182" s="501" t="s">
        <v>1073</v>
      </c>
      <c r="B182" s="502" t="s">
        <v>1074</v>
      </c>
      <c r="C182" s="503"/>
      <c r="D182" s="504"/>
      <c r="E182" s="528"/>
      <c r="F182" s="504"/>
      <c r="G182" s="504"/>
      <c r="H182" s="506"/>
      <c r="I182" s="506"/>
      <c r="J182" s="506"/>
      <c r="K182" s="506"/>
      <c r="L182" s="506"/>
      <c r="M182" s="506"/>
      <c r="N182" s="506"/>
      <c r="O182" s="506"/>
      <c r="P182" s="506"/>
      <c r="Q182" s="506"/>
      <c r="R182" s="506"/>
      <c r="S182" s="506"/>
      <c r="T182" s="733"/>
    </row>
    <row r="183" spans="1:22" x14ac:dyDescent="0.3">
      <c r="A183" s="539" t="s">
        <v>1075</v>
      </c>
      <c r="B183" s="540" t="s">
        <v>1076</v>
      </c>
      <c r="C183" s="495">
        <v>200</v>
      </c>
      <c r="D183" s="496">
        <v>200</v>
      </c>
      <c r="E183" s="497">
        <v>0</v>
      </c>
      <c r="F183" s="542">
        <v>0</v>
      </c>
      <c r="G183" s="496"/>
      <c r="H183" s="498">
        <v>0</v>
      </c>
      <c r="I183" s="498">
        <v>0</v>
      </c>
      <c r="J183" s="498">
        <v>0</v>
      </c>
      <c r="K183" s="498">
        <v>0</v>
      </c>
      <c r="L183" s="498">
        <v>0</v>
      </c>
      <c r="M183" s="498">
        <v>0</v>
      </c>
      <c r="N183" s="498">
        <v>0</v>
      </c>
      <c r="O183" s="498">
        <v>0</v>
      </c>
      <c r="P183" s="498">
        <v>0</v>
      </c>
      <c r="Q183" s="498">
        <v>0</v>
      </c>
      <c r="R183" s="498">
        <v>0</v>
      </c>
      <c r="S183" s="498"/>
      <c r="T183" s="734">
        <v>0</v>
      </c>
    </row>
    <row r="184" spans="1:22" x14ac:dyDescent="0.3">
      <c r="A184" s="539" t="s">
        <v>1077</v>
      </c>
      <c r="B184" s="540" t="s">
        <v>1078</v>
      </c>
      <c r="C184" s="495">
        <v>200</v>
      </c>
      <c r="D184" s="496">
        <v>200</v>
      </c>
      <c r="E184" s="499">
        <v>0</v>
      </c>
      <c r="F184" s="542">
        <v>0</v>
      </c>
      <c r="G184" s="496"/>
      <c r="H184" s="500">
        <v>0</v>
      </c>
      <c r="I184" s="500">
        <v>0</v>
      </c>
      <c r="J184" s="500">
        <v>0</v>
      </c>
      <c r="K184" s="500">
        <v>0</v>
      </c>
      <c r="L184" s="500">
        <v>0</v>
      </c>
      <c r="M184" s="500">
        <v>0</v>
      </c>
      <c r="N184" s="500">
        <v>0</v>
      </c>
      <c r="O184" s="500">
        <v>0</v>
      </c>
      <c r="P184" s="500">
        <v>0</v>
      </c>
      <c r="Q184" s="500">
        <v>0</v>
      </c>
      <c r="R184" s="500">
        <v>0</v>
      </c>
      <c r="S184" s="500"/>
      <c r="T184" s="728">
        <v>0</v>
      </c>
    </row>
    <row r="185" spans="1:22" x14ac:dyDescent="0.3">
      <c r="A185" s="539" t="s">
        <v>476</v>
      </c>
      <c r="B185" s="540" t="s">
        <v>1079</v>
      </c>
      <c r="C185" s="541">
        <v>1000</v>
      </c>
      <c r="D185" s="542">
        <v>1000</v>
      </c>
      <c r="E185" s="615">
        <v>150</v>
      </c>
      <c r="F185" s="542">
        <v>200</v>
      </c>
      <c r="G185" s="496"/>
      <c r="H185" s="500">
        <v>0</v>
      </c>
      <c r="I185" s="500">
        <v>0</v>
      </c>
      <c r="J185" s="500">
        <v>100</v>
      </c>
      <c r="K185" s="500">
        <v>100</v>
      </c>
      <c r="L185" s="500">
        <v>100</v>
      </c>
      <c r="M185" s="500">
        <v>100</v>
      </c>
      <c r="N185" s="500">
        <v>100</v>
      </c>
      <c r="O185" s="500">
        <v>150</v>
      </c>
      <c r="P185" s="500">
        <v>150</v>
      </c>
      <c r="Q185" s="500">
        <v>150</v>
      </c>
      <c r="R185" s="500">
        <v>150</v>
      </c>
      <c r="S185" s="500"/>
      <c r="T185" s="728">
        <v>150</v>
      </c>
    </row>
    <row r="186" spans="1:22" x14ac:dyDescent="0.3">
      <c r="A186" s="539" t="s">
        <v>1080</v>
      </c>
      <c r="B186" s="540" t="s">
        <v>1081</v>
      </c>
      <c r="C186" s="541">
        <v>500</v>
      </c>
      <c r="D186" s="542">
        <v>500</v>
      </c>
      <c r="E186" s="615">
        <v>0</v>
      </c>
      <c r="F186" s="542">
        <v>0</v>
      </c>
      <c r="G186" s="496"/>
      <c r="H186" s="500">
        <v>0</v>
      </c>
      <c r="I186" s="500">
        <v>0</v>
      </c>
      <c r="J186" s="500">
        <v>0</v>
      </c>
      <c r="K186" s="500">
        <v>0</v>
      </c>
      <c r="L186" s="500">
        <v>0</v>
      </c>
      <c r="M186" s="500">
        <v>0</v>
      </c>
      <c r="N186" s="500">
        <v>0</v>
      </c>
      <c r="O186" s="500">
        <v>0</v>
      </c>
      <c r="P186" s="500">
        <v>0</v>
      </c>
      <c r="Q186" s="500">
        <v>0</v>
      </c>
      <c r="R186" s="500">
        <v>0</v>
      </c>
      <c r="S186" s="500"/>
      <c r="T186" s="728">
        <v>0</v>
      </c>
    </row>
    <row r="187" spans="1:22" x14ac:dyDescent="0.3">
      <c r="A187" s="539" t="s">
        <v>1082</v>
      </c>
      <c r="B187" s="540" t="s">
        <v>1083</v>
      </c>
      <c r="C187" s="541">
        <v>300</v>
      </c>
      <c r="D187" s="542">
        <v>300</v>
      </c>
      <c r="E187" s="615">
        <v>0</v>
      </c>
      <c r="F187" s="542">
        <v>0</v>
      </c>
      <c r="G187" s="496"/>
      <c r="H187" s="500">
        <v>0</v>
      </c>
      <c r="I187" s="500">
        <v>0</v>
      </c>
      <c r="J187" s="500">
        <v>0</v>
      </c>
      <c r="K187" s="500">
        <v>0</v>
      </c>
      <c r="L187" s="500">
        <v>0</v>
      </c>
      <c r="M187" s="500">
        <v>0</v>
      </c>
      <c r="N187" s="500">
        <v>0</v>
      </c>
      <c r="O187" s="500">
        <v>0</v>
      </c>
      <c r="P187" s="500">
        <v>0</v>
      </c>
      <c r="Q187" s="500">
        <v>0</v>
      </c>
      <c r="R187" s="500">
        <v>0</v>
      </c>
      <c r="S187" s="500"/>
      <c r="T187" s="728">
        <v>0</v>
      </c>
    </row>
    <row r="188" spans="1:22" x14ac:dyDescent="0.3">
      <c r="A188" s="539" t="s">
        <v>479</v>
      </c>
      <c r="B188" s="540" t="s">
        <v>1084</v>
      </c>
      <c r="C188" s="541">
        <v>500</v>
      </c>
      <c r="D188" s="542">
        <v>500</v>
      </c>
      <c r="E188" s="615">
        <v>0</v>
      </c>
      <c r="F188" s="542">
        <v>200</v>
      </c>
      <c r="G188" s="496"/>
      <c r="H188" s="500">
        <v>0</v>
      </c>
      <c r="I188" s="500">
        <v>0</v>
      </c>
      <c r="J188" s="500">
        <v>0</v>
      </c>
      <c r="K188" s="500">
        <v>0</v>
      </c>
      <c r="L188" s="500">
        <v>0</v>
      </c>
      <c r="M188" s="500">
        <v>0</v>
      </c>
      <c r="N188" s="500">
        <v>0</v>
      </c>
      <c r="O188" s="500">
        <v>0</v>
      </c>
      <c r="P188" s="500">
        <v>0</v>
      </c>
      <c r="Q188" s="500">
        <v>0</v>
      </c>
      <c r="R188" s="500">
        <v>0</v>
      </c>
      <c r="S188" s="500"/>
      <c r="T188" s="728">
        <v>0</v>
      </c>
    </row>
    <row r="189" spans="1:22" x14ac:dyDescent="0.3">
      <c r="A189" s="539" t="s">
        <v>486</v>
      </c>
      <c r="B189" s="540" t="s">
        <v>1085</v>
      </c>
      <c r="C189" s="541">
        <v>3000</v>
      </c>
      <c r="D189" s="542">
        <v>3000</v>
      </c>
      <c r="E189" s="615">
        <v>2693.44</v>
      </c>
      <c r="F189" s="542">
        <v>3264.02</v>
      </c>
      <c r="G189" s="496"/>
      <c r="H189" s="500">
        <v>3264.02</v>
      </c>
      <c r="I189" s="500">
        <v>3264.02</v>
      </c>
      <c r="J189" s="500">
        <v>3264.02</v>
      </c>
      <c r="K189" s="500">
        <v>3264.02</v>
      </c>
      <c r="L189" s="500">
        <v>3264.02</v>
      </c>
      <c r="M189" s="500">
        <v>3264.02</v>
      </c>
      <c r="N189" s="500">
        <v>3264.02</v>
      </c>
      <c r="O189" s="500">
        <v>3264.02</v>
      </c>
      <c r="P189" s="500">
        <v>3264.02</v>
      </c>
      <c r="Q189" s="500">
        <v>3264.02</v>
      </c>
      <c r="R189" s="500">
        <v>3264.02</v>
      </c>
      <c r="S189" s="500"/>
      <c r="T189" s="728">
        <v>3264.02</v>
      </c>
    </row>
    <row r="190" spans="1:22" x14ac:dyDescent="0.3">
      <c r="A190" s="539" t="s">
        <v>488</v>
      </c>
      <c r="B190" s="540" t="s">
        <v>1086</v>
      </c>
      <c r="C190" s="541">
        <v>25</v>
      </c>
      <c r="D190" s="542">
        <v>25</v>
      </c>
      <c r="E190" s="615">
        <v>25</v>
      </c>
      <c r="F190" s="542">
        <v>25</v>
      </c>
      <c r="G190" s="496"/>
      <c r="H190" s="500">
        <v>0</v>
      </c>
      <c r="I190" s="500">
        <v>0</v>
      </c>
      <c r="J190" s="500">
        <v>25</v>
      </c>
      <c r="K190" s="500">
        <v>25</v>
      </c>
      <c r="L190" s="500">
        <v>25</v>
      </c>
      <c r="M190" s="500">
        <v>25</v>
      </c>
      <c r="N190" s="500">
        <v>25</v>
      </c>
      <c r="O190" s="500">
        <v>25</v>
      </c>
      <c r="P190" s="500">
        <v>25</v>
      </c>
      <c r="Q190" s="500">
        <v>25</v>
      </c>
      <c r="R190" s="500">
        <v>25</v>
      </c>
      <c r="S190" s="500"/>
      <c r="T190" s="728">
        <v>25</v>
      </c>
    </row>
    <row r="191" spans="1:22" s="420" customFormat="1" x14ac:dyDescent="0.3">
      <c r="A191" s="501" t="s">
        <v>1087</v>
      </c>
      <c r="B191" s="502" t="s">
        <v>1088</v>
      </c>
      <c r="C191" s="503"/>
      <c r="D191" s="504"/>
      <c r="E191" s="518"/>
      <c r="F191" s="504"/>
      <c r="G191" s="504"/>
      <c r="H191" s="510"/>
      <c r="I191" s="510"/>
      <c r="J191" s="510"/>
      <c r="K191" s="510"/>
      <c r="L191" s="510"/>
      <c r="M191" s="510"/>
      <c r="N191" s="510"/>
      <c r="O191" s="510"/>
      <c r="P191" s="510"/>
      <c r="Q191" s="510"/>
      <c r="R191" s="506"/>
      <c r="S191" s="506"/>
      <c r="T191" s="732"/>
      <c r="U191" s="418"/>
      <c r="V191" s="419"/>
    </row>
    <row r="192" spans="1:22" x14ac:dyDescent="0.3">
      <c r="A192" s="539" t="s">
        <v>150</v>
      </c>
      <c r="B192" s="540" t="s">
        <v>1089</v>
      </c>
      <c r="C192" s="495">
        <v>5000</v>
      </c>
      <c r="D192" s="496">
        <v>5000</v>
      </c>
      <c r="E192" s="499">
        <v>495</v>
      </c>
      <c r="F192" s="542">
        <v>1500</v>
      </c>
      <c r="G192" s="496"/>
      <c r="H192" s="498">
        <v>0</v>
      </c>
      <c r="I192" s="498">
        <v>0</v>
      </c>
      <c r="J192" s="498">
        <v>0</v>
      </c>
      <c r="K192" s="498">
        <v>0</v>
      </c>
      <c r="L192" s="498">
        <v>0</v>
      </c>
      <c r="M192" s="498">
        <v>0</v>
      </c>
      <c r="N192" s="498">
        <v>0</v>
      </c>
      <c r="O192" s="498">
        <v>0</v>
      </c>
      <c r="P192" s="500">
        <v>0</v>
      </c>
      <c r="Q192" s="500">
        <v>0</v>
      </c>
      <c r="R192" s="500">
        <v>0</v>
      </c>
      <c r="S192" s="500"/>
      <c r="T192" s="728">
        <v>795</v>
      </c>
    </row>
    <row r="193" spans="1:25" x14ac:dyDescent="0.3">
      <c r="A193" s="539" t="s">
        <v>253</v>
      </c>
      <c r="B193" s="540" t="s">
        <v>1090</v>
      </c>
      <c r="C193" s="495">
        <v>6000</v>
      </c>
      <c r="D193" s="496">
        <v>6000</v>
      </c>
      <c r="E193" s="499">
        <v>130.19999999999999</v>
      </c>
      <c r="F193" s="542">
        <v>2500</v>
      </c>
      <c r="G193" s="496"/>
      <c r="H193" s="498">
        <v>0</v>
      </c>
      <c r="I193" s="498">
        <v>0</v>
      </c>
      <c r="J193" s="500">
        <v>0</v>
      </c>
      <c r="K193" s="500">
        <v>0</v>
      </c>
      <c r="L193" s="500">
        <v>0</v>
      </c>
      <c r="M193" s="500">
        <v>0</v>
      </c>
      <c r="N193" s="500">
        <v>0</v>
      </c>
      <c r="O193" s="500">
        <v>0</v>
      </c>
      <c r="P193" s="500">
        <v>0</v>
      </c>
      <c r="Q193" s="500">
        <v>0</v>
      </c>
      <c r="R193" s="500">
        <v>0</v>
      </c>
      <c r="S193" s="500"/>
      <c r="T193" s="728">
        <v>1611.86</v>
      </c>
    </row>
    <row r="194" spans="1:25" x14ac:dyDescent="0.3">
      <c r="A194" s="493" t="s">
        <v>1091</v>
      </c>
      <c r="B194" s="494" t="s">
        <v>1092</v>
      </c>
      <c r="C194" s="495">
        <v>500</v>
      </c>
      <c r="D194" s="496">
        <v>500</v>
      </c>
      <c r="E194" s="499">
        <v>0</v>
      </c>
      <c r="F194" s="496">
        <v>300</v>
      </c>
      <c r="G194" s="496"/>
      <c r="H194" s="498">
        <v>0</v>
      </c>
      <c r="I194" s="498">
        <v>0</v>
      </c>
      <c r="J194" s="500">
        <v>0</v>
      </c>
      <c r="K194" s="500">
        <v>0</v>
      </c>
      <c r="L194" s="500">
        <v>0</v>
      </c>
      <c r="M194" s="500">
        <v>0</v>
      </c>
      <c r="N194" s="500">
        <v>0</v>
      </c>
      <c r="O194" s="500">
        <v>0</v>
      </c>
      <c r="P194" s="500">
        <v>0</v>
      </c>
      <c r="Q194" s="500">
        <v>0</v>
      </c>
      <c r="R194" s="500">
        <v>0</v>
      </c>
      <c r="S194" s="500"/>
      <c r="T194" s="728">
        <v>0</v>
      </c>
    </row>
    <row r="195" spans="1:25" x14ac:dyDescent="0.3">
      <c r="A195" s="539" t="s">
        <v>282</v>
      </c>
      <c r="B195" s="540" t="s">
        <v>1093</v>
      </c>
      <c r="C195" s="541">
        <v>3000</v>
      </c>
      <c r="D195" s="542">
        <v>3000</v>
      </c>
      <c r="E195" s="615">
        <v>24</v>
      </c>
      <c r="F195" s="542">
        <v>1500</v>
      </c>
      <c r="G195" s="496"/>
      <c r="H195" s="498">
        <v>0</v>
      </c>
      <c r="I195" s="498">
        <v>0</v>
      </c>
      <c r="J195" s="500">
        <v>0</v>
      </c>
      <c r="K195" s="500">
        <v>0</v>
      </c>
      <c r="L195" s="500">
        <v>0</v>
      </c>
      <c r="M195" s="500">
        <v>0</v>
      </c>
      <c r="N195" s="500">
        <v>0</v>
      </c>
      <c r="O195" s="500">
        <v>0</v>
      </c>
      <c r="P195" s="500">
        <v>0</v>
      </c>
      <c r="Q195" s="500">
        <v>0</v>
      </c>
      <c r="R195" s="500">
        <v>0</v>
      </c>
      <c r="S195" s="500"/>
      <c r="T195" s="728">
        <v>643</v>
      </c>
    </row>
    <row r="196" spans="1:25" x14ac:dyDescent="0.3">
      <c r="A196" s="539" t="s">
        <v>303</v>
      </c>
      <c r="B196" s="540" t="s">
        <v>1094</v>
      </c>
      <c r="C196" s="541">
        <v>1000</v>
      </c>
      <c r="D196" s="542">
        <v>1000</v>
      </c>
      <c r="E196" s="615">
        <v>0</v>
      </c>
      <c r="F196" s="542">
        <v>200</v>
      </c>
      <c r="G196" s="496"/>
      <c r="H196" s="498">
        <v>0</v>
      </c>
      <c r="I196" s="498">
        <v>0</v>
      </c>
      <c r="J196" s="500">
        <v>0</v>
      </c>
      <c r="K196" s="500">
        <v>0</v>
      </c>
      <c r="L196" s="500">
        <v>0</v>
      </c>
      <c r="M196" s="500">
        <v>0</v>
      </c>
      <c r="N196" s="500">
        <v>0</v>
      </c>
      <c r="O196" s="500">
        <v>0</v>
      </c>
      <c r="P196" s="500">
        <v>0</v>
      </c>
      <c r="Q196" s="500">
        <v>0</v>
      </c>
      <c r="R196" s="500">
        <v>8.98</v>
      </c>
      <c r="S196" s="500"/>
      <c r="T196" s="728">
        <v>8.98</v>
      </c>
    </row>
    <row r="197" spans="1:25" x14ac:dyDescent="0.3">
      <c r="A197" s="493" t="s">
        <v>1095</v>
      </c>
      <c r="B197" s="494" t="s">
        <v>1096</v>
      </c>
      <c r="C197" s="495">
        <v>200</v>
      </c>
      <c r="D197" s="496">
        <v>200</v>
      </c>
      <c r="E197" s="499">
        <v>0</v>
      </c>
      <c r="F197" s="496">
        <v>100</v>
      </c>
      <c r="G197" s="496"/>
      <c r="H197" s="498">
        <v>0</v>
      </c>
      <c r="I197" s="498">
        <v>0</v>
      </c>
      <c r="J197" s="500">
        <v>0</v>
      </c>
      <c r="K197" s="500">
        <v>0</v>
      </c>
      <c r="L197" s="500">
        <v>0</v>
      </c>
      <c r="M197" s="500">
        <v>0</v>
      </c>
      <c r="N197" s="500">
        <v>0</v>
      </c>
      <c r="O197" s="500">
        <v>0</v>
      </c>
      <c r="P197" s="500">
        <v>0</v>
      </c>
      <c r="Q197" s="500">
        <v>0</v>
      </c>
      <c r="R197" s="500">
        <v>0</v>
      </c>
      <c r="S197" s="500"/>
      <c r="T197" s="728">
        <v>0</v>
      </c>
    </row>
    <row r="198" spans="1:25" s="420" customFormat="1" x14ac:dyDescent="0.3">
      <c r="A198" s="501" t="s">
        <v>1097</v>
      </c>
      <c r="B198" s="502" t="s">
        <v>1098</v>
      </c>
      <c r="C198" s="503"/>
      <c r="D198" s="504"/>
      <c r="E198" s="518"/>
      <c r="F198" s="504"/>
      <c r="G198" s="504"/>
      <c r="H198" s="510"/>
      <c r="I198" s="510"/>
      <c r="J198" s="510"/>
      <c r="K198" s="510"/>
      <c r="L198" s="510"/>
      <c r="M198" s="510"/>
      <c r="N198" s="510"/>
      <c r="O198" s="510"/>
      <c r="P198" s="510"/>
      <c r="Q198" s="510"/>
      <c r="R198" s="506"/>
      <c r="S198" s="510"/>
      <c r="T198" s="732"/>
      <c r="U198" s="418" t="s">
        <v>536</v>
      </c>
      <c r="V198" s="419" t="s">
        <v>1292</v>
      </c>
      <c r="W198" s="598">
        <f>F199+F209+F219+F229+F239</f>
        <v>70000</v>
      </c>
    </row>
    <row r="199" spans="1:25" x14ac:dyDescent="0.3">
      <c r="A199" s="621" t="s">
        <v>1099</v>
      </c>
      <c r="B199" s="622" t="s">
        <v>1100</v>
      </c>
      <c r="C199" s="495">
        <v>20000</v>
      </c>
      <c r="D199" s="496">
        <v>20000</v>
      </c>
      <c r="E199" s="499">
        <v>16438.330000000002</v>
      </c>
      <c r="F199" s="542">
        <v>20000</v>
      </c>
      <c r="G199" s="496"/>
      <c r="H199" s="500">
        <v>1085</v>
      </c>
      <c r="I199" s="500">
        <v>3150</v>
      </c>
      <c r="J199" s="500">
        <v>4695</v>
      </c>
      <c r="K199" s="500">
        <v>5895</v>
      </c>
      <c r="L199" s="500">
        <v>6678.33</v>
      </c>
      <c r="M199" s="500">
        <v>7968.33</v>
      </c>
      <c r="N199" s="500">
        <v>7968.33</v>
      </c>
      <c r="O199" s="500">
        <v>9118.33</v>
      </c>
      <c r="P199" s="500">
        <v>10393.33</v>
      </c>
      <c r="Q199" s="500">
        <v>11523.33</v>
      </c>
      <c r="R199" s="500">
        <v>12788.33</v>
      </c>
      <c r="S199" s="500"/>
      <c r="T199" s="728">
        <v>15283.33</v>
      </c>
      <c r="U199" s="395" t="s">
        <v>1295</v>
      </c>
    </row>
    <row r="200" spans="1:25" x14ac:dyDescent="0.3">
      <c r="A200" s="621" t="s">
        <v>243</v>
      </c>
      <c r="B200" s="622" t="s">
        <v>1101</v>
      </c>
      <c r="C200" s="495">
        <v>20000</v>
      </c>
      <c r="D200" s="496">
        <v>15000</v>
      </c>
      <c r="E200" s="499">
        <v>10055.129999999999</v>
      </c>
      <c r="F200" s="542">
        <v>14000</v>
      </c>
      <c r="G200" s="496"/>
      <c r="H200" s="500">
        <v>241.13</v>
      </c>
      <c r="I200" s="500">
        <v>2083</v>
      </c>
      <c r="J200" s="500">
        <v>4006.35</v>
      </c>
      <c r="K200" s="500">
        <v>4018.35</v>
      </c>
      <c r="L200" s="500">
        <v>4876.1899999999996</v>
      </c>
      <c r="M200" s="500">
        <v>5545.38</v>
      </c>
      <c r="N200" s="500">
        <v>5545.38</v>
      </c>
      <c r="O200" s="500">
        <v>5923.38</v>
      </c>
      <c r="P200" s="500">
        <v>6372.68</v>
      </c>
      <c r="Q200" s="500">
        <v>6726.43</v>
      </c>
      <c r="R200" s="500">
        <v>7481.96</v>
      </c>
      <c r="S200" s="500"/>
      <c r="T200" s="728">
        <v>8591.16</v>
      </c>
      <c r="U200" s="395" t="s">
        <v>1292</v>
      </c>
    </row>
    <row r="201" spans="1:25" x14ac:dyDescent="0.3">
      <c r="A201" s="521" t="s">
        <v>1102</v>
      </c>
      <c r="B201" s="647" t="s">
        <v>1103</v>
      </c>
      <c r="C201" s="541">
        <v>30000</v>
      </c>
      <c r="D201" s="542">
        <v>45000</v>
      </c>
      <c r="E201" s="615">
        <v>39653.15</v>
      </c>
      <c r="F201" s="542">
        <v>45000</v>
      </c>
      <c r="G201" s="496"/>
      <c r="H201" s="500">
        <v>0</v>
      </c>
      <c r="I201" s="500">
        <v>0</v>
      </c>
      <c r="J201" s="500">
        <v>0</v>
      </c>
      <c r="K201" s="500">
        <v>798.75</v>
      </c>
      <c r="L201" s="500">
        <v>6378.75</v>
      </c>
      <c r="M201" s="500">
        <v>17550</v>
      </c>
      <c r="N201" s="500">
        <v>17550</v>
      </c>
      <c r="O201" s="500">
        <v>19147.5</v>
      </c>
      <c r="P201" s="500">
        <v>19147.5</v>
      </c>
      <c r="Q201" s="500">
        <v>19147.5</v>
      </c>
      <c r="R201" s="500">
        <v>24097.5</v>
      </c>
      <c r="S201" s="500"/>
      <c r="T201" s="728">
        <v>41821.25</v>
      </c>
      <c r="U201" s="617" t="s">
        <v>1296</v>
      </c>
      <c r="V201" s="617" t="s">
        <v>139</v>
      </c>
      <c r="W201" s="617" t="s">
        <v>142</v>
      </c>
      <c r="X201" s="617" t="s">
        <v>145</v>
      </c>
      <c r="Y201" s="617" t="s">
        <v>1297</v>
      </c>
    </row>
    <row r="202" spans="1:25" x14ac:dyDescent="0.3">
      <c r="A202" s="621" t="s">
        <v>267</v>
      </c>
      <c r="B202" s="622" t="s">
        <v>1104</v>
      </c>
      <c r="C202" s="541">
        <v>5500</v>
      </c>
      <c r="D202" s="542">
        <v>5500</v>
      </c>
      <c r="E202" s="615">
        <v>2644</v>
      </c>
      <c r="F202" s="542">
        <v>3000</v>
      </c>
      <c r="G202" s="496"/>
      <c r="H202" s="500">
        <v>168</v>
      </c>
      <c r="I202" s="500">
        <v>240</v>
      </c>
      <c r="J202" s="500">
        <v>240</v>
      </c>
      <c r="K202" s="500">
        <v>240</v>
      </c>
      <c r="L202" s="500">
        <v>408</v>
      </c>
      <c r="M202" s="500">
        <v>408</v>
      </c>
      <c r="N202" s="500">
        <v>408</v>
      </c>
      <c r="O202" s="500">
        <v>408</v>
      </c>
      <c r="P202" s="500">
        <v>600</v>
      </c>
      <c r="Q202" s="500">
        <v>648</v>
      </c>
      <c r="R202" s="500">
        <v>936</v>
      </c>
      <c r="S202" s="500"/>
      <c r="T202" s="728">
        <v>1120</v>
      </c>
    </row>
    <row r="203" spans="1:25" x14ac:dyDescent="0.3">
      <c r="A203" s="621" t="s">
        <v>293</v>
      </c>
      <c r="B203" s="625" t="s">
        <v>1105</v>
      </c>
      <c r="C203" s="541">
        <v>1000</v>
      </c>
      <c r="D203" s="542">
        <v>1000</v>
      </c>
      <c r="E203" s="615">
        <v>213.49</v>
      </c>
      <c r="F203" s="542">
        <v>2000</v>
      </c>
      <c r="G203" s="496"/>
      <c r="H203" s="500">
        <v>9.84</v>
      </c>
      <c r="I203" s="500">
        <v>107.46</v>
      </c>
      <c r="J203" s="500">
        <v>107.46</v>
      </c>
      <c r="K203" s="500">
        <v>107.46</v>
      </c>
      <c r="L203" s="500">
        <v>107.46</v>
      </c>
      <c r="M203" s="500">
        <v>107.46</v>
      </c>
      <c r="N203" s="500">
        <v>107.46</v>
      </c>
      <c r="O203" s="500">
        <v>107.46</v>
      </c>
      <c r="P203" s="500">
        <v>107.46</v>
      </c>
      <c r="Q203" s="500">
        <v>107.46</v>
      </c>
      <c r="R203" s="500">
        <v>118.19</v>
      </c>
      <c r="S203" s="500"/>
      <c r="T203" s="728">
        <v>118.19</v>
      </c>
      <c r="U203" s="395">
        <v>2300</v>
      </c>
    </row>
    <row r="204" spans="1:25" x14ac:dyDescent="0.3">
      <c r="A204" s="521" t="s">
        <v>377</v>
      </c>
      <c r="B204" s="646" t="s">
        <v>1106</v>
      </c>
      <c r="C204" s="541">
        <v>8000</v>
      </c>
      <c r="D204" s="542">
        <v>3000</v>
      </c>
      <c r="E204" s="615">
        <v>0</v>
      </c>
      <c r="F204" s="542">
        <v>4000</v>
      </c>
      <c r="G204" s="496"/>
      <c r="H204" s="500">
        <v>0</v>
      </c>
      <c r="I204" s="500">
        <v>0</v>
      </c>
      <c r="J204" s="500">
        <v>0</v>
      </c>
      <c r="K204" s="500">
        <v>0</v>
      </c>
      <c r="L204" s="500">
        <v>0</v>
      </c>
      <c r="M204" s="500">
        <v>0</v>
      </c>
      <c r="N204" s="500">
        <v>0</v>
      </c>
      <c r="O204" s="500">
        <v>0</v>
      </c>
      <c r="P204" s="500">
        <v>0</v>
      </c>
      <c r="Q204" s="500">
        <v>0</v>
      </c>
      <c r="R204" s="500">
        <v>0</v>
      </c>
      <c r="S204" s="500"/>
      <c r="T204" s="728">
        <v>0</v>
      </c>
    </row>
    <row r="205" spans="1:25" x14ac:dyDescent="0.3">
      <c r="A205" s="621" t="s">
        <v>365</v>
      </c>
      <c r="B205" s="622" t="s">
        <v>1107</v>
      </c>
      <c r="C205" s="541">
        <v>1500</v>
      </c>
      <c r="D205" s="542">
        <v>1500</v>
      </c>
      <c r="E205" s="615">
        <v>31.3</v>
      </c>
      <c r="F205" s="542">
        <v>300</v>
      </c>
      <c r="G205" s="496"/>
      <c r="H205" s="500">
        <v>0</v>
      </c>
      <c r="I205" s="500">
        <v>0</v>
      </c>
      <c r="J205" s="500">
        <v>0</v>
      </c>
      <c r="K205" s="500">
        <v>0</v>
      </c>
      <c r="L205" s="500">
        <v>0</v>
      </c>
      <c r="M205" s="500">
        <v>0</v>
      </c>
      <c r="N205" s="500">
        <v>0</v>
      </c>
      <c r="O205" s="500">
        <v>0</v>
      </c>
      <c r="P205" s="500">
        <v>0</v>
      </c>
      <c r="Q205" s="500">
        <v>0</v>
      </c>
      <c r="R205" s="500">
        <v>0</v>
      </c>
      <c r="S205" s="500"/>
      <c r="T205" s="728">
        <v>0</v>
      </c>
    </row>
    <row r="206" spans="1:25" x14ac:dyDescent="0.3">
      <c r="A206" s="521" t="s">
        <v>1108</v>
      </c>
      <c r="B206" s="622" t="s">
        <v>1109</v>
      </c>
      <c r="C206" s="541">
        <v>2000</v>
      </c>
      <c r="D206" s="542">
        <v>17000</v>
      </c>
      <c r="E206" s="615">
        <v>16730.14</v>
      </c>
      <c r="F206" s="542">
        <v>4000</v>
      </c>
      <c r="G206" s="496"/>
      <c r="H206" s="500">
        <v>99</v>
      </c>
      <c r="I206" s="500">
        <v>851.9</v>
      </c>
      <c r="J206" s="500">
        <v>950.9</v>
      </c>
      <c r="K206" s="500">
        <v>1083.2</v>
      </c>
      <c r="L206" s="500">
        <v>1262.2</v>
      </c>
      <c r="M206" s="500">
        <v>1295.5</v>
      </c>
      <c r="N206" s="500">
        <v>1474.5</v>
      </c>
      <c r="O206" s="500">
        <v>1573.5</v>
      </c>
      <c r="P206" s="500">
        <v>1780.04</v>
      </c>
      <c r="Q206" s="500">
        <v>1879.04</v>
      </c>
      <c r="R206" s="500">
        <v>2000.18</v>
      </c>
      <c r="S206" s="508"/>
      <c r="T206" s="728">
        <v>2507.77</v>
      </c>
    </row>
    <row r="207" spans="1:25" x14ac:dyDescent="0.3">
      <c r="A207" s="521" t="s">
        <v>1110</v>
      </c>
      <c r="B207" s="622" t="s">
        <v>1111</v>
      </c>
      <c r="C207" s="541">
        <v>500</v>
      </c>
      <c r="D207" s="542">
        <v>500</v>
      </c>
      <c r="E207" s="615">
        <v>0</v>
      </c>
      <c r="F207" s="542">
        <v>700</v>
      </c>
      <c r="G207" s="496"/>
      <c r="H207" s="500">
        <v>0</v>
      </c>
      <c r="I207" s="500">
        <v>0</v>
      </c>
      <c r="J207" s="500">
        <v>0</v>
      </c>
      <c r="K207" s="500">
        <v>0</v>
      </c>
      <c r="L207" s="500">
        <v>0</v>
      </c>
      <c r="M207" s="500">
        <v>0</v>
      </c>
      <c r="N207" s="500">
        <v>0</v>
      </c>
      <c r="O207" s="500">
        <v>0</v>
      </c>
      <c r="P207" s="500">
        <v>0</v>
      </c>
      <c r="Q207" s="500">
        <v>0</v>
      </c>
      <c r="R207" s="500">
        <v>0</v>
      </c>
      <c r="S207" s="500"/>
      <c r="T207" s="728">
        <v>0</v>
      </c>
    </row>
    <row r="208" spans="1:25" s="420" customFormat="1" x14ac:dyDescent="0.3">
      <c r="A208" s="501" t="s">
        <v>1112</v>
      </c>
      <c r="B208" s="502" t="s">
        <v>1113</v>
      </c>
      <c r="C208" s="503"/>
      <c r="D208" s="504"/>
      <c r="E208" s="518"/>
      <c r="F208" s="504"/>
      <c r="G208" s="504"/>
      <c r="H208" s="510"/>
      <c r="I208" s="510"/>
      <c r="J208" s="510"/>
      <c r="K208" s="510"/>
      <c r="L208" s="510"/>
      <c r="M208" s="510"/>
      <c r="N208" s="510"/>
      <c r="O208" s="510"/>
      <c r="P208" s="510"/>
      <c r="Q208" s="510"/>
      <c r="R208" s="506"/>
      <c r="S208" s="510"/>
      <c r="T208" s="732"/>
      <c r="U208" s="418"/>
      <c r="V208" s="419"/>
    </row>
    <row r="209" spans="1:22" x14ac:dyDescent="0.3">
      <c r="A209" s="539" t="s">
        <v>1114</v>
      </c>
      <c r="B209" s="622" t="s">
        <v>1115</v>
      </c>
      <c r="C209" s="495">
        <v>11000</v>
      </c>
      <c r="D209" s="496">
        <v>11000</v>
      </c>
      <c r="E209" s="499">
        <v>7880</v>
      </c>
      <c r="F209" s="542">
        <v>11000</v>
      </c>
      <c r="G209" s="496"/>
      <c r="H209" s="500">
        <v>400</v>
      </c>
      <c r="I209" s="500">
        <v>700</v>
      </c>
      <c r="J209" s="500">
        <v>740</v>
      </c>
      <c r="K209" s="500">
        <v>760</v>
      </c>
      <c r="L209" s="500">
        <v>1160</v>
      </c>
      <c r="M209" s="500">
        <v>1180</v>
      </c>
      <c r="N209" s="500">
        <v>1980</v>
      </c>
      <c r="O209" s="500">
        <v>3320</v>
      </c>
      <c r="P209" s="500">
        <v>4200</v>
      </c>
      <c r="Q209" s="500">
        <v>5000</v>
      </c>
      <c r="R209" s="500">
        <v>5620</v>
      </c>
      <c r="S209" s="500"/>
      <c r="T209" s="728">
        <v>7280</v>
      </c>
    </row>
    <row r="210" spans="1:22" x14ac:dyDescent="0.3">
      <c r="A210" s="539" t="s">
        <v>245</v>
      </c>
      <c r="B210" s="622" t="s">
        <v>1116</v>
      </c>
      <c r="C210" s="495">
        <v>3000</v>
      </c>
      <c r="D210" s="496">
        <v>3000</v>
      </c>
      <c r="E210" s="499">
        <v>75.33</v>
      </c>
      <c r="F210" s="542">
        <v>1000</v>
      </c>
      <c r="G210" s="496"/>
      <c r="H210" s="500">
        <v>0</v>
      </c>
      <c r="I210" s="500">
        <v>58.2</v>
      </c>
      <c r="J210" s="500">
        <v>127.2</v>
      </c>
      <c r="K210" s="500">
        <v>127.2</v>
      </c>
      <c r="L210" s="500">
        <v>174.92</v>
      </c>
      <c r="M210" s="500">
        <v>174.92</v>
      </c>
      <c r="N210" s="500">
        <v>174.92</v>
      </c>
      <c r="O210" s="500">
        <v>174.92</v>
      </c>
      <c r="P210" s="500">
        <v>219.92</v>
      </c>
      <c r="Q210" s="500">
        <v>219.92</v>
      </c>
      <c r="R210" s="500">
        <v>219.92</v>
      </c>
      <c r="S210" s="500"/>
      <c r="T210" s="728">
        <v>501.44</v>
      </c>
    </row>
    <row r="211" spans="1:22" x14ac:dyDescent="0.3">
      <c r="A211" s="493" t="s">
        <v>1117</v>
      </c>
      <c r="B211" s="647" t="s">
        <v>1118</v>
      </c>
      <c r="C211" s="541">
        <v>4000</v>
      </c>
      <c r="D211" s="542">
        <v>4000</v>
      </c>
      <c r="E211" s="615">
        <v>660</v>
      </c>
      <c r="F211" s="542">
        <v>3000</v>
      </c>
      <c r="G211" s="496"/>
      <c r="H211" s="500">
        <v>0</v>
      </c>
      <c r="I211" s="500">
        <v>0</v>
      </c>
      <c r="J211" s="500">
        <v>0</v>
      </c>
      <c r="K211" s="500">
        <v>0</v>
      </c>
      <c r="L211" s="500">
        <v>660</v>
      </c>
      <c r="M211" s="500">
        <v>1290</v>
      </c>
      <c r="N211" s="500">
        <v>1290</v>
      </c>
      <c r="O211" s="500">
        <v>1997.2</v>
      </c>
      <c r="P211" s="500">
        <v>2697.2</v>
      </c>
      <c r="Q211" s="500">
        <v>2697.2</v>
      </c>
      <c r="R211" s="500">
        <v>2862.2</v>
      </c>
      <c r="S211" s="500"/>
      <c r="T211" s="727">
        <v>4544.7</v>
      </c>
    </row>
    <row r="212" spans="1:22" x14ac:dyDescent="0.3">
      <c r="A212" s="539" t="s">
        <v>270</v>
      </c>
      <c r="B212" s="622" t="s">
        <v>1119</v>
      </c>
      <c r="C212" s="541">
        <v>1500</v>
      </c>
      <c r="D212" s="542">
        <v>1500</v>
      </c>
      <c r="E212" s="615">
        <v>0</v>
      </c>
      <c r="F212" s="542">
        <v>500</v>
      </c>
      <c r="G212" s="496"/>
      <c r="H212" s="500">
        <v>0</v>
      </c>
      <c r="I212" s="500">
        <v>0</v>
      </c>
      <c r="J212" s="500">
        <v>0</v>
      </c>
      <c r="K212" s="500">
        <v>0</v>
      </c>
      <c r="L212" s="500">
        <v>0</v>
      </c>
      <c r="M212" s="500">
        <v>0</v>
      </c>
      <c r="N212" s="500">
        <v>0</v>
      </c>
      <c r="O212" s="500">
        <v>0</v>
      </c>
      <c r="P212" s="500">
        <v>0</v>
      </c>
      <c r="Q212" s="500">
        <v>0</v>
      </c>
      <c r="R212" s="500">
        <v>0</v>
      </c>
      <c r="S212" s="500"/>
      <c r="T212" s="728">
        <v>302.39999999999998</v>
      </c>
    </row>
    <row r="213" spans="1:22" x14ac:dyDescent="0.3">
      <c r="A213" s="539" t="s">
        <v>295</v>
      </c>
      <c r="B213" s="625" t="s">
        <v>1120</v>
      </c>
      <c r="C213" s="541">
        <v>500</v>
      </c>
      <c r="D213" s="542">
        <v>500</v>
      </c>
      <c r="E213" s="615">
        <v>0</v>
      </c>
      <c r="F213" s="542">
        <v>100</v>
      </c>
      <c r="G213" s="496"/>
      <c r="H213" s="500">
        <v>0</v>
      </c>
      <c r="I213" s="500">
        <v>0</v>
      </c>
      <c r="J213" s="500">
        <v>0</v>
      </c>
      <c r="K213" s="500">
        <v>0</v>
      </c>
      <c r="L213" s="500">
        <v>0</v>
      </c>
      <c r="M213" s="500">
        <v>0</v>
      </c>
      <c r="N213" s="500">
        <v>0</v>
      </c>
      <c r="O213" s="500">
        <v>0</v>
      </c>
      <c r="P213" s="500">
        <v>0</v>
      </c>
      <c r="Q213" s="500">
        <v>0</v>
      </c>
      <c r="R213" s="500">
        <v>0</v>
      </c>
      <c r="S213" s="500"/>
      <c r="T213" s="728">
        <v>0</v>
      </c>
    </row>
    <row r="214" spans="1:22" x14ac:dyDescent="0.3">
      <c r="A214" s="493" t="s">
        <v>379</v>
      </c>
      <c r="B214" s="646" t="s">
        <v>1121</v>
      </c>
      <c r="C214" s="541">
        <v>1000</v>
      </c>
      <c r="D214" s="542">
        <v>1000</v>
      </c>
      <c r="E214" s="615">
        <v>0</v>
      </c>
      <c r="F214" s="542">
        <v>500</v>
      </c>
      <c r="G214" s="496"/>
      <c r="H214" s="500">
        <v>0</v>
      </c>
      <c r="I214" s="500">
        <v>0</v>
      </c>
      <c r="J214" s="500">
        <v>0</v>
      </c>
      <c r="K214" s="500">
        <v>0</v>
      </c>
      <c r="L214" s="500">
        <v>0</v>
      </c>
      <c r="M214" s="500">
        <v>0</v>
      </c>
      <c r="N214" s="500">
        <v>0</v>
      </c>
      <c r="O214" s="500">
        <v>0</v>
      </c>
      <c r="P214" s="500">
        <v>0</v>
      </c>
      <c r="Q214" s="500">
        <v>0</v>
      </c>
      <c r="R214" s="500">
        <v>0</v>
      </c>
      <c r="S214" s="500"/>
      <c r="T214" s="728">
        <v>0</v>
      </c>
    </row>
    <row r="215" spans="1:22" x14ac:dyDescent="0.3">
      <c r="A215" s="493" t="s">
        <v>367</v>
      </c>
      <c r="B215" s="622" t="s">
        <v>1122</v>
      </c>
      <c r="C215" s="541">
        <v>1000</v>
      </c>
      <c r="D215" s="542">
        <v>1000</v>
      </c>
      <c r="E215" s="615">
        <v>0</v>
      </c>
      <c r="F215" s="542">
        <v>100</v>
      </c>
      <c r="G215" s="496"/>
      <c r="H215" s="500">
        <v>0</v>
      </c>
      <c r="I215" s="500">
        <v>0</v>
      </c>
      <c r="J215" s="500">
        <v>0</v>
      </c>
      <c r="K215" s="500">
        <v>0</v>
      </c>
      <c r="L215" s="500">
        <v>0</v>
      </c>
      <c r="M215" s="500">
        <v>0</v>
      </c>
      <c r="N215" s="500">
        <v>0</v>
      </c>
      <c r="O215" s="500">
        <v>0</v>
      </c>
      <c r="P215" s="500">
        <v>0</v>
      </c>
      <c r="Q215" s="500">
        <v>0</v>
      </c>
      <c r="R215" s="500">
        <v>0</v>
      </c>
      <c r="S215" s="500"/>
      <c r="T215" s="728">
        <v>0</v>
      </c>
    </row>
    <row r="216" spans="1:22" x14ac:dyDescent="0.3">
      <c r="A216" s="493" t="s">
        <v>1123</v>
      </c>
      <c r="B216" s="622" t="s">
        <v>1124</v>
      </c>
      <c r="C216" s="541">
        <v>2500</v>
      </c>
      <c r="D216" s="542">
        <v>2500</v>
      </c>
      <c r="E216" s="615">
        <v>0</v>
      </c>
      <c r="F216" s="542">
        <v>500</v>
      </c>
      <c r="G216" s="496"/>
      <c r="H216" s="500">
        <v>0</v>
      </c>
      <c r="I216" s="500">
        <v>30</v>
      </c>
      <c r="J216" s="500">
        <v>30</v>
      </c>
      <c r="K216" s="500">
        <v>30</v>
      </c>
      <c r="L216" s="500">
        <v>30</v>
      </c>
      <c r="M216" s="500">
        <v>30</v>
      </c>
      <c r="N216" s="500">
        <v>30</v>
      </c>
      <c r="O216" s="500">
        <v>30</v>
      </c>
      <c r="P216" s="500">
        <v>30</v>
      </c>
      <c r="Q216" s="500">
        <v>30</v>
      </c>
      <c r="R216" s="500">
        <v>30</v>
      </c>
      <c r="S216" s="500"/>
      <c r="T216" s="728">
        <v>30</v>
      </c>
    </row>
    <row r="217" spans="1:22" x14ac:dyDescent="0.3">
      <c r="A217" s="493" t="s">
        <v>1125</v>
      </c>
      <c r="B217" s="622" t="s">
        <v>1126</v>
      </c>
      <c r="C217" s="541">
        <v>1000</v>
      </c>
      <c r="D217" s="542">
        <v>1000</v>
      </c>
      <c r="E217" s="615">
        <v>0</v>
      </c>
      <c r="F217" s="542">
        <v>200</v>
      </c>
      <c r="G217" s="496"/>
      <c r="H217" s="500">
        <v>0</v>
      </c>
      <c r="I217" s="500">
        <v>0</v>
      </c>
      <c r="J217" s="500">
        <v>0</v>
      </c>
      <c r="K217" s="500">
        <v>0</v>
      </c>
      <c r="L217" s="500">
        <v>0</v>
      </c>
      <c r="M217" s="500">
        <v>0</v>
      </c>
      <c r="N217" s="500">
        <v>0</v>
      </c>
      <c r="O217" s="500">
        <v>0</v>
      </c>
      <c r="P217" s="500">
        <v>0</v>
      </c>
      <c r="Q217" s="500">
        <v>0</v>
      </c>
      <c r="R217" s="500">
        <v>0</v>
      </c>
      <c r="S217" s="500"/>
      <c r="T217" s="728">
        <v>0</v>
      </c>
    </row>
    <row r="218" spans="1:22" s="420" customFormat="1" x14ac:dyDescent="0.3">
      <c r="A218" s="501" t="s">
        <v>1127</v>
      </c>
      <c r="B218" s="502" t="s">
        <v>1128</v>
      </c>
      <c r="C218" s="503"/>
      <c r="D218" s="504"/>
      <c r="E218" s="518"/>
      <c r="F218" s="504"/>
      <c r="G218" s="504"/>
      <c r="H218" s="510"/>
      <c r="I218" s="510"/>
      <c r="J218" s="510"/>
      <c r="K218" s="510"/>
      <c r="L218" s="510"/>
      <c r="M218" s="510"/>
      <c r="N218" s="510"/>
      <c r="O218" s="510"/>
      <c r="P218" s="510"/>
      <c r="Q218" s="510"/>
      <c r="R218" s="506"/>
      <c r="S218" s="510"/>
      <c r="T218" s="732"/>
      <c r="U218" s="418"/>
      <c r="V218" s="419"/>
    </row>
    <row r="219" spans="1:22" x14ac:dyDescent="0.3">
      <c r="A219" s="539" t="s">
        <v>1129</v>
      </c>
      <c r="B219" s="625" t="s">
        <v>1130</v>
      </c>
      <c r="C219" s="541">
        <v>12000</v>
      </c>
      <c r="D219" s="542">
        <v>12000</v>
      </c>
      <c r="E219" s="543">
        <v>9980</v>
      </c>
      <c r="F219" s="542">
        <v>12000</v>
      </c>
      <c r="G219" s="496"/>
      <c r="H219" s="498">
        <v>800</v>
      </c>
      <c r="I219" s="498">
        <v>1660</v>
      </c>
      <c r="J219" s="498">
        <v>2990</v>
      </c>
      <c r="K219" s="498">
        <v>3970</v>
      </c>
      <c r="L219" s="498">
        <v>4990</v>
      </c>
      <c r="M219" s="498">
        <v>5790</v>
      </c>
      <c r="N219" s="498">
        <v>5790</v>
      </c>
      <c r="O219" s="498">
        <v>6970</v>
      </c>
      <c r="P219" s="498">
        <v>7990</v>
      </c>
      <c r="Q219" s="498">
        <v>8970</v>
      </c>
      <c r="R219" s="498">
        <v>10210</v>
      </c>
      <c r="S219" s="498"/>
      <c r="T219" s="727">
        <v>12610</v>
      </c>
    </row>
    <row r="220" spans="1:22" x14ac:dyDescent="0.3">
      <c r="A220" s="539" t="s">
        <v>247</v>
      </c>
      <c r="B220" s="625" t="s">
        <v>1131</v>
      </c>
      <c r="C220" s="541">
        <v>5000</v>
      </c>
      <c r="D220" s="542">
        <v>5000</v>
      </c>
      <c r="E220" s="543">
        <v>0</v>
      </c>
      <c r="F220" s="542">
        <v>1500</v>
      </c>
      <c r="G220" s="496"/>
      <c r="H220" s="498">
        <v>0</v>
      </c>
      <c r="I220" s="498">
        <v>31.8</v>
      </c>
      <c r="J220" s="498">
        <v>175.3</v>
      </c>
      <c r="K220" s="498">
        <v>175.3</v>
      </c>
      <c r="L220" s="498">
        <v>175.3</v>
      </c>
      <c r="M220" s="498">
        <v>174.7</v>
      </c>
      <c r="N220" s="498">
        <v>174.7</v>
      </c>
      <c r="O220" s="498">
        <v>313.39999999999998</v>
      </c>
      <c r="P220" s="498">
        <v>313.39999999999998</v>
      </c>
      <c r="Q220" s="498">
        <v>313.39999999999998</v>
      </c>
      <c r="R220" s="498">
        <v>627.16</v>
      </c>
      <c r="S220" s="498"/>
      <c r="T220" s="734">
        <v>897.76</v>
      </c>
    </row>
    <row r="221" spans="1:22" x14ac:dyDescent="0.3">
      <c r="A221" s="493" t="s">
        <v>1132</v>
      </c>
      <c r="B221" s="646" t="s">
        <v>1133</v>
      </c>
      <c r="C221" s="541">
        <v>13000</v>
      </c>
      <c r="D221" s="542">
        <v>18000</v>
      </c>
      <c r="E221" s="618">
        <v>21240</v>
      </c>
      <c r="F221" s="542">
        <v>23000</v>
      </c>
      <c r="G221" s="496"/>
      <c r="H221" s="498">
        <v>0</v>
      </c>
      <c r="I221" s="498">
        <v>0</v>
      </c>
      <c r="J221" s="498">
        <v>0</v>
      </c>
      <c r="K221" s="498">
        <v>0</v>
      </c>
      <c r="L221" s="498">
        <v>0</v>
      </c>
      <c r="M221" s="498">
        <v>0</v>
      </c>
      <c r="N221" s="498">
        <v>2835</v>
      </c>
      <c r="O221" s="498">
        <v>2835</v>
      </c>
      <c r="P221" s="498">
        <v>10395</v>
      </c>
      <c r="Q221" s="498">
        <v>10395</v>
      </c>
      <c r="R221" s="498">
        <v>11835</v>
      </c>
      <c r="S221" s="498"/>
      <c r="T221" s="734">
        <v>22905</v>
      </c>
    </row>
    <row r="222" spans="1:22" x14ac:dyDescent="0.3">
      <c r="A222" s="539" t="s">
        <v>273</v>
      </c>
      <c r="B222" s="625" t="s">
        <v>1134</v>
      </c>
      <c r="C222" s="541">
        <v>2000</v>
      </c>
      <c r="D222" s="542">
        <v>2000</v>
      </c>
      <c r="E222" s="543">
        <v>0</v>
      </c>
      <c r="F222" s="542">
        <v>500</v>
      </c>
      <c r="G222" s="496"/>
      <c r="H222" s="498">
        <v>0</v>
      </c>
      <c r="I222" s="498">
        <v>0</v>
      </c>
      <c r="J222" s="498">
        <v>114</v>
      </c>
      <c r="K222" s="498">
        <v>114</v>
      </c>
      <c r="L222" s="498">
        <v>114</v>
      </c>
      <c r="M222" s="498">
        <v>114</v>
      </c>
      <c r="N222" s="498">
        <v>114</v>
      </c>
      <c r="O222" s="498">
        <v>179</v>
      </c>
      <c r="P222" s="498">
        <v>179</v>
      </c>
      <c r="Q222" s="498">
        <v>179</v>
      </c>
      <c r="R222" s="498">
        <v>179</v>
      </c>
      <c r="S222" s="498"/>
      <c r="T222" s="727">
        <v>551</v>
      </c>
    </row>
    <row r="223" spans="1:22" x14ac:dyDescent="0.3">
      <c r="A223" s="539" t="s">
        <v>297</v>
      </c>
      <c r="B223" s="625" t="s">
        <v>1135</v>
      </c>
      <c r="C223" s="541">
        <v>2000</v>
      </c>
      <c r="D223" s="542">
        <v>2000</v>
      </c>
      <c r="E223" s="543">
        <v>0</v>
      </c>
      <c r="F223" s="542">
        <v>500</v>
      </c>
      <c r="G223" s="496"/>
      <c r="H223" s="498">
        <v>0</v>
      </c>
      <c r="I223" s="498">
        <v>0</v>
      </c>
      <c r="J223" s="498">
        <v>0</v>
      </c>
      <c r="K223" s="498">
        <v>0</v>
      </c>
      <c r="L223" s="498">
        <v>0</v>
      </c>
      <c r="M223" s="498">
        <v>0</v>
      </c>
      <c r="N223" s="498">
        <v>0</v>
      </c>
      <c r="O223" s="498">
        <v>0</v>
      </c>
      <c r="P223" s="498">
        <v>0</v>
      </c>
      <c r="Q223" s="498">
        <v>0</v>
      </c>
      <c r="R223" s="498">
        <v>0</v>
      </c>
      <c r="S223" s="498"/>
      <c r="T223" s="734">
        <v>0</v>
      </c>
    </row>
    <row r="224" spans="1:22" x14ac:dyDescent="0.3">
      <c r="A224" s="493" t="s">
        <v>381</v>
      </c>
      <c r="B224" s="646" t="s">
        <v>1136</v>
      </c>
      <c r="C224" s="541">
        <v>2500</v>
      </c>
      <c r="D224" s="542">
        <v>2500</v>
      </c>
      <c r="E224" s="543">
        <v>0</v>
      </c>
      <c r="F224" s="542">
        <v>2000</v>
      </c>
      <c r="G224" s="496"/>
      <c r="H224" s="498">
        <v>0</v>
      </c>
      <c r="I224" s="498">
        <v>0</v>
      </c>
      <c r="J224" s="498">
        <v>0</v>
      </c>
      <c r="K224" s="498">
        <v>0</v>
      </c>
      <c r="L224" s="498">
        <v>0</v>
      </c>
      <c r="M224" s="498">
        <v>0</v>
      </c>
      <c r="N224" s="498">
        <v>0</v>
      </c>
      <c r="O224" s="498">
        <v>0</v>
      </c>
      <c r="P224" s="498">
        <v>0</v>
      </c>
      <c r="Q224" s="498">
        <v>0</v>
      </c>
      <c r="R224" s="498">
        <v>0</v>
      </c>
      <c r="S224" s="498"/>
      <c r="T224" s="734">
        <v>0</v>
      </c>
    </row>
    <row r="225" spans="1:22" x14ac:dyDescent="0.3">
      <c r="A225" s="493" t="s">
        <v>369</v>
      </c>
      <c r="B225" s="625" t="s">
        <v>1137</v>
      </c>
      <c r="C225" s="541">
        <v>3000</v>
      </c>
      <c r="D225" s="542">
        <v>3000</v>
      </c>
      <c r="E225" s="543">
        <v>0</v>
      </c>
      <c r="F225" s="542">
        <v>200</v>
      </c>
      <c r="G225" s="496"/>
      <c r="H225" s="498">
        <v>0</v>
      </c>
      <c r="I225" s="498">
        <v>0</v>
      </c>
      <c r="J225" s="498">
        <v>0</v>
      </c>
      <c r="K225" s="498">
        <v>0</v>
      </c>
      <c r="L225" s="498">
        <v>0</v>
      </c>
      <c r="M225" s="498">
        <v>0</v>
      </c>
      <c r="N225" s="498">
        <v>0</v>
      </c>
      <c r="O225" s="498">
        <v>0</v>
      </c>
      <c r="P225" s="498">
        <v>0</v>
      </c>
      <c r="Q225" s="498">
        <v>0</v>
      </c>
      <c r="R225" s="498">
        <v>0</v>
      </c>
      <c r="S225" s="498"/>
      <c r="T225" s="734">
        <v>0</v>
      </c>
    </row>
    <row r="226" spans="1:22" x14ac:dyDescent="0.3">
      <c r="A226" s="493" t="s">
        <v>1138</v>
      </c>
      <c r="B226" s="625" t="s">
        <v>1139</v>
      </c>
      <c r="C226" s="541">
        <v>5000</v>
      </c>
      <c r="D226" s="542">
        <v>5000</v>
      </c>
      <c r="E226" s="543">
        <v>0</v>
      </c>
      <c r="F226" s="542">
        <v>1000</v>
      </c>
      <c r="G226" s="496"/>
      <c r="H226" s="498">
        <v>0</v>
      </c>
      <c r="I226" s="498">
        <v>0</v>
      </c>
      <c r="J226" s="498">
        <v>0</v>
      </c>
      <c r="K226" s="498">
        <v>0</v>
      </c>
      <c r="L226" s="498">
        <v>0</v>
      </c>
      <c r="M226" s="498">
        <v>0</v>
      </c>
      <c r="N226" s="498">
        <v>0</v>
      </c>
      <c r="O226" s="498">
        <v>0</v>
      </c>
      <c r="P226" s="498">
        <v>0</v>
      </c>
      <c r="Q226" s="498">
        <v>0</v>
      </c>
      <c r="R226" s="498">
        <v>0</v>
      </c>
      <c r="S226" s="498"/>
      <c r="T226" s="734">
        <v>30</v>
      </c>
    </row>
    <row r="227" spans="1:22" x14ac:dyDescent="0.3">
      <c r="A227" s="493" t="s">
        <v>1140</v>
      </c>
      <c r="B227" s="625" t="s">
        <v>1141</v>
      </c>
      <c r="C227" s="541">
        <v>1000</v>
      </c>
      <c r="D227" s="542">
        <v>1000</v>
      </c>
      <c r="E227" s="543">
        <v>0</v>
      </c>
      <c r="F227" s="542">
        <v>500</v>
      </c>
      <c r="G227" s="496"/>
      <c r="H227" s="498">
        <v>0</v>
      </c>
      <c r="I227" s="498">
        <v>0</v>
      </c>
      <c r="J227" s="498">
        <v>0</v>
      </c>
      <c r="K227" s="498">
        <v>0</v>
      </c>
      <c r="L227" s="498">
        <v>0</v>
      </c>
      <c r="M227" s="498">
        <v>0</v>
      </c>
      <c r="N227" s="498">
        <v>0</v>
      </c>
      <c r="O227" s="498">
        <v>0</v>
      </c>
      <c r="P227" s="498">
        <v>0</v>
      </c>
      <c r="Q227" s="498">
        <v>0</v>
      </c>
      <c r="R227" s="498">
        <v>0</v>
      </c>
      <c r="S227" s="498"/>
      <c r="T227" s="734">
        <v>0</v>
      </c>
    </row>
    <row r="228" spans="1:22" s="420" customFormat="1" x14ac:dyDescent="0.3">
      <c r="A228" s="501" t="s">
        <v>1142</v>
      </c>
      <c r="B228" s="502" t="s">
        <v>1143</v>
      </c>
      <c r="C228" s="503"/>
      <c r="D228" s="504"/>
      <c r="E228" s="518"/>
      <c r="F228" s="504"/>
      <c r="G228" s="504"/>
      <c r="H228" s="510"/>
      <c r="I228" s="511"/>
      <c r="J228" s="511"/>
      <c r="K228" s="511"/>
      <c r="L228" s="511"/>
      <c r="M228" s="511"/>
      <c r="N228" s="511"/>
      <c r="O228" s="511"/>
      <c r="P228" s="510"/>
      <c r="Q228" s="510"/>
      <c r="R228" s="506"/>
      <c r="S228" s="510"/>
      <c r="T228" s="732"/>
      <c r="U228" s="418"/>
      <c r="V228" s="419"/>
    </row>
    <row r="229" spans="1:22" x14ac:dyDescent="0.3">
      <c r="A229" s="539" t="s">
        <v>1144</v>
      </c>
      <c r="B229" s="625" t="s">
        <v>1145</v>
      </c>
      <c r="C229" s="495">
        <v>20000</v>
      </c>
      <c r="D229" s="496">
        <v>20000</v>
      </c>
      <c r="E229" s="499">
        <v>10865</v>
      </c>
      <c r="F229" s="542">
        <v>14000</v>
      </c>
      <c r="G229" s="496"/>
      <c r="H229" s="500">
        <v>890</v>
      </c>
      <c r="I229" s="500">
        <v>2400</v>
      </c>
      <c r="J229" s="500">
        <v>3200</v>
      </c>
      <c r="K229" s="500">
        <v>4220</v>
      </c>
      <c r="L229" s="500">
        <v>5085</v>
      </c>
      <c r="M229" s="500">
        <v>6035</v>
      </c>
      <c r="N229" s="500">
        <v>6140</v>
      </c>
      <c r="O229" s="500">
        <v>6940</v>
      </c>
      <c r="P229" s="500">
        <v>7950</v>
      </c>
      <c r="Q229" s="500">
        <v>8860</v>
      </c>
      <c r="R229" s="500">
        <v>9725</v>
      </c>
      <c r="S229" s="500"/>
      <c r="T229" s="728">
        <v>11870</v>
      </c>
    </row>
    <row r="230" spans="1:22" x14ac:dyDescent="0.3">
      <c r="A230" s="539" t="s">
        <v>249</v>
      </c>
      <c r="B230" s="625" t="s">
        <v>1146</v>
      </c>
      <c r="C230" s="495">
        <v>15000</v>
      </c>
      <c r="D230" s="496">
        <v>15000</v>
      </c>
      <c r="E230" s="499">
        <v>2447.61</v>
      </c>
      <c r="F230" s="542">
        <v>8000</v>
      </c>
      <c r="G230" s="496"/>
      <c r="H230" s="500">
        <v>106.2</v>
      </c>
      <c r="I230" s="500">
        <v>677.5</v>
      </c>
      <c r="J230" s="500">
        <v>677.5</v>
      </c>
      <c r="K230" s="500">
        <v>677.5</v>
      </c>
      <c r="L230" s="500">
        <v>1048.3</v>
      </c>
      <c r="M230" s="500">
        <v>1060.3</v>
      </c>
      <c r="N230" s="500">
        <v>1242.7</v>
      </c>
      <c r="O230" s="500">
        <v>1242.7</v>
      </c>
      <c r="P230" s="500">
        <v>1429.9</v>
      </c>
      <c r="Q230" s="500">
        <v>1549.7</v>
      </c>
      <c r="R230" s="500">
        <v>1649.9</v>
      </c>
      <c r="S230" s="500"/>
      <c r="T230" s="728">
        <v>1852.7</v>
      </c>
    </row>
    <row r="231" spans="1:22" x14ac:dyDescent="0.3">
      <c r="A231" s="493" t="s">
        <v>1147</v>
      </c>
      <c r="B231" s="646" t="s">
        <v>1148</v>
      </c>
      <c r="C231" s="541">
        <v>25000</v>
      </c>
      <c r="D231" s="542">
        <v>40000</v>
      </c>
      <c r="E231" s="618">
        <v>45174.91</v>
      </c>
      <c r="F231" s="542">
        <v>42000</v>
      </c>
      <c r="G231" s="496"/>
      <c r="H231" s="500">
        <v>825</v>
      </c>
      <c r="I231" s="500">
        <v>825</v>
      </c>
      <c r="J231" s="500">
        <v>825</v>
      </c>
      <c r="K231" s="500">
        <v>2681.25</v>
      </c>
      <c r="L231" s="500">
        <v>3258.75</v>
      </c>
      <c r="M231" s="500">
        <v>17436.63</v>
      </c>
      <c r="N231" s="500">
        <v>16652.88</v>
      </c>
      <c r="O231" s="500">
        <v>17477.88</v>
      </c>
      <c r="P231" s="500">
        <v>18302.88</v>
      </c>
      <c r="Q231" s="500">
        <v>18302.88</v>
      </c>
      <c r="R231" s="500">
        <v>19114.13</v>
      </c>
      <c r="S231" s="500"/>
      <c r="T231" s="728">
        <v>25892.880000000001</v>
      </c>
    </row>
    <row r="232" spans="1:22" x14ac:dyDescent="0.3">
      <c r="A232" s="539" t="s">
        <v>276</v>
      </c>
      <c r="B232" s="625" t="s">
        <v>1149</v>
      </c>
      <c r="C232" s="541">
        <v>3500</v>
      </c>
      <c r="D232" s="542">
        <v>3500</v>
      </c>
      <c r="E232" s="615">
        <v>547</v>
      </c>
      <c r="F232" s="542">
        <v>2000</v>
      </c>
      <c r="G232" s="496"/>
      <c r="H232" s="500">
        <v>0</v>
      </c>
      <c r="I232" s="500">
        <v>0</v>
      </c>
      <c r="J232" s="500">
        <v>0</v>
      </c>
      <c r="K232" s="500">
        <v>0</v>
      </c>
      <c r="L232" s="500">
        <v>0</v>
      </c>
      <c r="M232" s="500">
        <v>0</v>
      </c>
      <c r="N232" s="500">
        <v>0</v>
      </c>
      <c r="O232" s="500">
        <v>72</v>
      </c>
      <c r="P232" s="500">
        <v>72</v>
      </c>
      <c r="Q232" s="500">
        <v>72</v>
      </c>
      <c r="R232" s="500">
        <v>72</v>
      </c>
      <c r="S232" s="500"/>
      <c r="T232" s="728">
        <v>144</v>
      </c>
    </row>
    <row r="233" spans="1:22" x14ac:dyDescent="0.3">
      <c r="A233" s="539" t="s">
        <v>299</v>
      </c>
      <c r="B233" s="625" t="s">
        <v>1150</v>
      </c>
      <c r="C233" s="541">
        <v>1000</v>
      </c>
      <c r="D233" s="542">
        <v>1000</v>
      </c>
      <c r="E233" s="615">
        <v>0</v>
      </c>
      <c r="F233" s="542">
        <v>500</v>
      </c>
      <c r="G233" s="496"/>
      <c r="H233" s="500">
        <v>0</v>
      </c>
      <c r="I233" s="500">
        <v>0</v>
      </c>
      <c r="J233" s="500">
        <v>0</v>
      </c>
      <c r="K233" s="500">
        <v>0</v>
      </c>
      <c r="L233" s="500">
        <v>24</v>
      </c>
      <c r="M233" s="500">
        <v>24</v>
      </c>
      <c r="N233" s="500">
        <v>48</v>
      </c>
      <c r="O233" s="500">
        <v>24</v>
      </c>
      <c r="P233" s="500">
        <v>24</v>
      </c>
      <c r="Q233" s="500">
        <v>24</v>
      </c>
      <c r="R233" s="500">
        <v>24</v>
      </c>
      <c r="S233" s="500"/>
      <c r="T233" s="728">
        <v>24</v>
      </c>
    </row>
    <row r="234" spans="1:22" x14ac:dyDescent="0.3">
      <c r="A234" s="493" t="s">
        <v>383</v>
      </c>
      <c r="B234" s="646" t="s">
        <v>1151</v>
      </c>
      <c r="C234" s="541">
        <v>5000</v>
      </c>
      <c r="D234" s="542">
        <v>5000</v>
      </c>
      <c r="E234" s="615">
        <v>0</v>
      </c>
      <c r="F234" s="542">
        <v>4000</v>
      </c>
      <c r="G234" s="496"/>
      <c r="H234" s="500">
        <v>0</v>
      </c>
      <c r="I234" s="500">
        <v>0</v>
      </c>
      <c r="J234" s="500">
        <v>0</v>
      </c>
      <c r="K234" s="500">
        <v>0</v>
      </c>
      <c r="L234" s="500">
        <v>0</v>
      </c>
      <c r="M234" s="500">
        <v>0</v>
      </c>
      <c r="N234" s="500">
        <v>24</v>
      </c>
      <c r="O234" s="500">
        <v>0</v>
      </c>
      <c r="P234" s="500">
        <v>0</v>
      </c>
      <c r="Q234" s="500">
        <v>0</v>
      </c>
      <c r="R234" s="500">
        <v>0</v>
      </c>
      <c r="S234" s="500"/>
      <c r="T234" s="728">
        <v>0</v>
      </c>
    </row>
    <row r="235" spans="1:22" x14ac:dyDescent="0.3">
      <c r="A235" s="493" t="s">
        <v>371</v>
      </c>
      <c r="B235" s="625" t="s">
        <v>1152</v>
      </c>
      <c r="C235" s="541">
        <v>6000</v>
      </c>
      <c r="D235" s="542">
        <v>6000</v>
      </c>
      <c r="E235" s="615">
        <v>0</v>
      </c>
      <c r="F235" s="542">
        <v>300</v>
      </c>
      <c r="G235" s="496"/>
      <c r="H235" s="500">
        <v>0</v>
      </c>
      <c r="I235" s="500">
        <v>0</v>
      </c>
      <c r="J235" s="500">
        <v>0</v>
      </c>
      <c r="K235" s="500">
        <v>0</v>
      </c>
      <c r="L235" s="500">
        <v>0</v>
      </c>
      <c r="M235" s="500">
        <v>0</v>
      </c>
      <c r="N235" s="500">
        <v>0</v>
      </c>
      <c r="O235" s="500">
        <v>0</v>
      </c>
      <c r="P235" s="500">
        <v>0</v>
      </c>
      <c r="Q235" s="500">
        <v>0</v>
      </c>
      <c r="R235" s="500">
        <v>0</v>
      </c>
      <c r="S235" s="500"/>
      <c r="T235" s="728">
        <v>0</v>
      </c>
    </row>
    <row r="236" spans="1:22" x14ac:dyDescent="0.3">
      <c r="A236" s="493" t="s">
        <v>1153</v>
      </c>
      <c r="B236" s="625" t="s">
        <v>1154</v>
      </c>
      <c r="C236" s="541">
        <v>5000</v>
      </c>
      <c r="D236" s="542">
        <v>5000</v>
      </c>
      <c r="E236" s="615">
        <v>2615.9899999999998</v>
      </c>
      <c r="F236" s="542">
        <v>3000</v>
      </c>
      <c r="G236" s="496"/>
      <c r="H236" s="500">
        <v>99</v>
      </c>
      <c r="I236" s="500">
        <v>198</v>
      </c>
      <c r="J236" s="500">
        <v>297</v>
      </c>
      <c r="K236" s="500">
        <v>396</v>
      </c>
      <c r="L236" s="500">
        <v>495</v>
      </c>
      <c r="M236" s="500">
        <v>495</v>
      </c>
      <c r="N236" s="500">
        <v>594</v>
      </c>
      <c r="O236" s="500">
        <v>693</v>
      </c>
      <c r="P236" s="500">
        <v>792</v>
      </c>
      <c r="Q236" s="500">
        <v>1441</v>
      </c>
      <c r="R236" s="500">
        <v>2361.1</v>
      </c>
      <c r="S236" s="500"/>
      <c r="T236" s="728">
        <v>2559.1</v>
      </c>
    </row>
    <row r="237" spans="1:22" x14ac:dyDescent="0.3">
      <c r="A237" s="493" t="s">
        <v>1155</v>
      </c>
      <c r="B237" s="625" t="s">
        <v>1156</v>
      </c>
      <c r="C237" s="541">
        <v>1000</v>
      </c>
      <c r="D237" s="542">
        <v>1000</v>
      </c>
      <c r="E237" s="615">
        <v>600</v>
      </c>
      <c r="F237" s="542">
        <v>1500</v>
      </c>
      <c r="G237" s="496"/>
      <c r="H237" s="500">
        <v>160.65</v>
      </c>
      <c r="I237" s="500">
        <v>160.65</v>
      </c>
      <c r="J237" s="500">
        <v>160.65</v>
      </c>
      <c r="K237" s="500">
        <v>160.65</v>
      </c>
      <c r="L237" s="500">
        <v>160.65</v>
      </c>
      <c r="M237" s="500">
        <v>160.65</v>
      </c>
      <c r="N237" s="500">
        <v>160.65</v>
      </c>
      <c r="O237" s="500">
        <v>160.65</v>
      </c>
      <c r="P237" s="500">
        <v>160.65</v>
      </c>
      <c r="Q237" s="500">
        <v>160.65</v>
      </c>
      <c r="R237" s="500">
        <v>160.65</v>
      </c>
      <c r="S237" s="500"/>
      <c r="T237" s="728">
        <v>160.65</v>
      </c>
    </row>
    <row r="238" spans="1:22" s="420" customFormat="1" x14ac:dyDescent="0.3">
      <c r="A238" s="501" t="s">
        <v>1157</v>
      </c>
      <c r="B238" s="502" t="s">
        <v>1158</v>
      </c>
      <c r="C238" s="503"/>
      <c r="D238" s="504"/>
      <c r="E238" s="509"/>
      <c r="F238" s="504"/>
      <c r="G238" s="504"/>
      <c r="H238" s="511"/>
      <c r="I238" s="511"/>
      <c r="J238" s="511"/>
      <c r="K238" s="511"/>
      <c r="L238" s="511"/>
      <c r="M238" s="511"/>
      <c r="N238" s="511"/>
      <c r="O238" s="511"/>
      <c r="P238" s="511"/>
      <c r="Q238" s="511"/>
      <c r="R238" s="507"/>
      <c r="S238" s="511"/>
      <c r="T238" s="730"/>
      <c r="U238" s="418"/>
      <c r="V238" s="419"/>
    </row>
    <row r="239" spans="1:22" x14ac:dyDescent="0.3">
      <c r="A239" s="539" t="s">
        <v>1159</v>
      </c>
      <c r="B239" s="625" t="s">
        <v>1160</v>
      </c>
      <c r="C239" s="495">
        <v>13500</v>
      </c>
      <c r="D239" s="496">
        <v>13500</v>
      </c>
      <c r="E239" s="499">
        <v>9820</v>
      </c>
      <c r="F239" s="542">
        <v>13000</v>
      </c>
      <c r="G239" s="496"/>
      <c r="H239" s="500">
        <v>800</v>
      </c>
      <c r="I239" s="500">
        <v>1670</v>
      </c>
      <c r="J239" s="500">
        <v>2470</v>
      </c>
      <c r="K239" s="500">
        <v>3310</v>
      </c>
      <c r="L239" s="500">
        <v>4170</v>
      </c>
      <c r="M239" s="500">
        <v>4990</v>
      </c>
      <c r="N239" s="500">
        <v>4990</v>
      </c>
      <c r="O239" s="500">
        <v>5790</v>
      </c>
      <c r="P239" s="500">
        <v>6630</v>
      </c>
      <c r="Q239" s="500">
        <v>7430</v>
      </c>
      <c r="R239" s="500">
        <v>8230</v>
      </c>
      <c r="S239" s="500"/>
      <c r="T239" s="728">
        <v>9870</v>
      </c>
    </row>
    <row r="240" spans="1:22" x14ac:dyDescent="0.3">
      <c r="A240" s="539" t="s">
        <v>251</v>
      </c>
      <c r="B240" s="625" t="s">
        <v>1161</v>
      </c>
      <c r="C240" s="495">
        <v>6000</v>
      </c>
      <c r="D240" s="496">
        <v>6000</v>
      </c>
      <c r="E240" s="499">
        <v>0</v>
      </c>
      <c r="F240" s="542">
        <v>4000</v>
      </c>
      <c r="G240" s="496"/>
      <c r="H240" s="500">
        <v>0</v>
      </c>
      <c r="I240" s="500">
        <v>120</v>
      </c>
      <c r="J240" s="500">
        <v>120</v>
      </c>
      <c r="K240" s="500">
        <v>120</v>
      </c>
      <c r="L240" s="500">
        <v>120</v>
      </c>
      <c r="M240" s="500">
        <v>120</v>
      </c>
      <c r="N240" s="500">
        <v>120</v>
      </c>
      <c r="O240" s="500">
        <v>120</v>
      </c>
      <c r="P240" s="500">
        <v>172.05</v>
      </c>
      <c r="Q240" s="500">
        <v>172.05</v>
      </c>
      <c r="R240" s="500">
        <v>172.05</v>
      </c>
      <c r="S240" s="500"/>
      <c r="T240" s="728">
        <v>172.05</v>
      </c>
    </row>
    <row r="241" spans="1:22" x14ac:dyDescent="0.3">
      <c r="A241" s="493" t="s">
        <v>1162</v>
      </c>
      <c r="B241" s="625" t="s">
        <v>1163</v>
      </c>
      <c r="C241" s="541">
        <v>12000</v>
      </c>
      <c r="D241" s="542">
        <v>15000</v>
      </c>
      <c r="E241" s="618">
        <v>16610</v>
      </c>
      <c r="F241" s="542">
        <v>15000</v>
      </c>
      <c r="G241" s="496"/>
      <c r="H241" s="500">
        <v>2736.25</v>
      </c>
      <c r="I241" s="500">
        <v>2736.25</v>
      </c>
      <c r="J241" s="500">
        <v>5376.25</v>
      </c>
      <c r="K241" s="500">
        <v>5376.25</v>
      </c>
      <c r="L241" s="500">
        <v>6256.25</v>
      </c>
      <c r="M241" s="500">
        <v>8456.25</v>
      </c>
      <c r="N241" s="500">
        <v>8456.25</v>
      </c>
      <c r="O241" s="500">
        <v>9336.25</v>
      </c>
      <c r="P241" s="500">
        <v>11013.75</v>
      </c>
      <c r="Q241" s="500">
        <v>11893.75</v>
      </c>
      <c r="R241" s="500">
        <v>13653.75</v>
      </c>
      <c r="S241" s="500"/>
      <c r="T241" s="727">
        <v>17613.75</v>
      </c>
    </row>
    <row r="242" spans="1:22" x14ac:dyDescent="0.3">
      <c r="A242" s="539" t="s">
        <v>279</v>
      </c>
      <c r="B242" s="625" t="s">
        <v>1164</v>
      </c>
      <c r="C242" s="541">
        <v>1500</v>
      </c>
      <c r="D242" s="542">
        <v>1500</v>
      </c>
      <c r="E242" s="615">
        <v>0</v>
      </c>
      <c r="F242" s="542">
        <v>1000</v>
      </c>
      <c r="G242" s="496"/>
      <c r="H242" s="500">
        <v>0</v>
      </c>
      <c r="I242" s="500">
        <v>0</v>
      </c>
      <c r="J242" s="500">
        <v>0</v>
      </c>
      <c r="K242" s="500">
        <v>0</v>
      </c>
      <c r="L242" s="500">
        <v>0</v>
      </c>
      <c r="M242" s="500">
        <v>0</v>
      </c>
      <c r="N242" s="500">
        <v>0</v>
      </c>
      <c r="O242" s="500">
        <v>0</v>
      </c>
      <c r="P242" s="500">
        <v>0</v>
      </c>
      <c r="Q242" s="500">
        <v>0</v>
      </c>
      <c r="R242" s="500">
        <v>0</v>
      </c>
      <c r="S242" s="500"/>
      <c r="T242" s="728">
        <v>0</v>
      </c>
    </row>
    <row r="243" spans="1:22" x14ac:dyDescent="0.3">
      <c r="A243" s="539" t="s">
        <v>301</v>
      </c>
      <c r="B243" s="625" t="s">
        <v>1165</v>
      </c>
      <c r="C243" s="541">
        <v>250</v>
      </c>
      <c r="D243" s="542">
        <v>250</v>
      </c>
      <c r="E243" s="615">
        <v>0</v>
      </c>
      <c r="F243" s="542">
        <v>250</v>
      </c>
      <c r="G243" s="496"/>
      <c r="H243" s="500">
        <v>0</v>
      </c>
      <c r="I243" s="500">
        <v>0</v>
      </c>
      <c r="J243" s="500">
        <v>0</v>
      </c>
      <c r="K243" s="500">
        <v>0</v>
      </c>
      <c r="L243" s="500">
        <v>0</v>
      </c>
      <c r="M243" s="500">
        <v>0</v>
      </c>
      <c r="N243" s="500">
        <v>0</v>
      </c>
      <c r="O243" s="500">
        <v>0</v>
      </c>
      <c r="P243" s="500">
        <v>0</v>
      </c>
      <c r="Q243" s="500">
        <v>0</v>
      </c>
      <c r="R243" s="500">
        <v>0</v>
      </c>
      <c r="S243" s="500"/>
      <c r="T243" s="728">
        <v>0</v>
      </c>
    </row>
    <row r="244" spans="1:22" x14ac:dyDescent="0.3">
      <c r="A244" s="493" t="s">
        <v>384</v>
      </c>
      <c r="B244" s="646" t="s">
        <v>1166</v>
      </c>
      <c r="C244" s="541">
        <v>2250</v>
      </c>
      <c r="D244" s="542">
        <v>2250</v>
      </c>
      <c r="E244" s="615">
        <v>0</v>
      </c>
      <c r="F244" s="542">
        <v>1500</v>
      </c>
      <c r="G244" s="496"/>
      <c r="H244" s="500">
        <v>0</v>
      </c>
      <c r="I244" s="500">
        <v>0</v>
      </c>
      <c r="J244" s="500">
        <v>0</v>
      </c>
      <c r="K244" s="500">
        <v>0</v>
      </c>
      <c r="L244" s="500">
        <v>0</v>
      </c>
      <c r="M244" s="500">
        <v>0</v>
      </c>
      <c r="N244" s="500">
        <v>0</v>
      </c>
      <c r="O244" s="500">
        <v>0</v>
      </c>
      <c r="P244" s="500">
        <v>0</v>
      </c>
      <c r="Q244" s="500">
        <v>0</v>
      </c>
      <c r="R244" s="500">
        <v>0</v>
      </c>
      <c r="S244" s="500"/>
      <c r="T244" s="728">
        <v>0</v>
      </c>
    </row>
    <row r="245" spans="1:22" x14ac:dyDescent="0.3">
      <c r="A245" s="493" t="s">
        <v>373</v>
      </c>
      <c r="B245" s="625" t="s">
        <v>1167</v>
      </c>
      <c r="C245" s="541">
        <v>1500</v>
      </c>
      <c r="D245" s="542">
        <v>1500</v>
      </c>
      <c r="E245" s="615">
        <v>0</v>
      </c>
      <c r="F245" s="542">
        <v>200</v>
      </c>
      <c r="G245" s="496"/>
      <c r="H245" s="500">
        <v>0</v>
      </c>
      <c r="I245" s="500">
        <v>0</v>
      </c>
      <c r="J245" s="500">
        <v>0</v>
      </c>
      <c r="K245" s="500">
        <v>0</v>
      </c>
      <c r="L245" s="500">
        <v>0</v>
      </c>
      <c r="M245" s="500">
        <v>0</v>
      </c>
      <c r="N245" s="500">
        <v>0</v>
      </c>
      <c r="O245" s="500">
        <v>0</v>
      </c>
      <c r="P245" s="500">
        <v>0</v>
      </c>
      <c r="Q245" s="500">
        <v>0</v>
      </c>
      <c r="R245" s="500">
        <v>0</v>
      </c>
      <c r="S245" s="500"/>
      <c r="T245" s="728">
        <v>0</v>
      </c>
    </row>
    <row r="246" spans="1:22" x14ac:dyDescent="0.3">
      <c r="A246" s="493" t="s">
        <v>1168</v>
      </c>
      <c r="B246" s="625" t="s">
        <v>1169</v>
      </c>
      <c r="C246" s="541">
        <v>1500</v>
      </c>
      <c r="D246" s="542">
        <v>1500</v>
      </c>
      <c r="E246" s="615">
        <v>209.76</v>
      </c>
      <c r="F246" s="542">
        <v>1500</v>
      </c>
      <c r="G246" s="496"/>
      <c r="H246" s="500">
        <v>0</v>
      </c>
      <c r="I246" s="500">
        <v>0</v>
      </c>
      <c r="J246" s="500">
        <v>0</v>
      </c>
      <c r="K246" s="500">
        <v>0</v>
      </c>
      <c r="L246" s="500">
        <v>0</v>
      </c>
      <c r="M246" s="500">
        <v>0</v>
      </c>
      <c r="N246" s="500">
        <v>0</v>
      </c>
      <c r="O246" s="500">
        <v>0</v>
      </c>
      <c r="P246" s="500">
        <v>0</v>
      </c>
      <c r="Q246" s="500">
        <v>0</v>
      </c>
      <c r="R246" s="500">
        <v>16.649999999999999</v>
      </c>
      <c r="S246" s="500"/>
      <c r="T246" s="728">
        <v>149.83000000000001</v>
      </c>
    </row>
    <row r="247" spans="1:22" x14ac:dyDescent="0.3">
      <c r="A247" s="493" t="s">
        <v>1170</v>
      </c>
      <c r="B247" s="625" t="s">
        <v>1171</v>
      </c>
      <c r="C247" s="541">
        <v>250</v>
      </c>
      <c r="D247" s="542">
        <v>250</v>
      </c>
      <c r="E247" s="615">
        <v>0</v>
      </c>
      <c r="F247" s="542">
        <v>250</v>
      </c>
      <c r="G247" s="496"/>
      <c r="H247" s="500">
        <v>0</v>
      </c>
      <c r="I247" s="500">
        <v>0</v>
      </c>
      <c r="J247" s="500">
        <v>0</v>
      </c>
      <c r="K247" s="500">
        <v>0</v>
      </c>
      <c r="L247" s="500">
        <v>0</v>
      </c>
      <c r="M247" s="500">
        <v>0</v>
      </c>
      <c r="N247" s="500">
        <v>0</v>
      </c>
      <c r="O247" s="500">
        <v>0</v>
      </c>
      <c r="P247" s="500">
        <v>0</v>
      </c>
      <c r="Q247" s="500">
        <v>0</v>
      </c>
      <c r="R247" s="500">
        <v>0</v>
      </c>
      <c r="S247" s="500"/>
      <c r="T247" s="728">
        <v>0</v>
      </c>
    </row>
    <row r="248" spans="1:22" s="420" customFormat="1" x14ac:dyDescent="0.3">
      <c r="A248" s="512" t="s">
        <v>1172</v>
      </c>
      <c r="B248" s="513" t="s">
        <v>1173</v>
      </c>
      <c r="C248" s="503"/>
      <c r="D248" s="504"/>
      <c r="E248" s="518"/>
      <c r="F248" s="504"/>
      <c r="G248" s="504"/>
      <c r="H248" s="510"/>
      <c r="I248" s="510"/>
      <c r="J248" s="510"/>
      <c r="K248" s="510"/>
      <c r="L248" s="510"/>
      <c r="M248" s="510"/>
      <c r="N248" s="510"/>
      <c r="O248" s="510"/>
      <c r="P248" s="510"/>
      <c r="Q248" s="510"/>
      <c r="R248" s="506"/>
      <c r="S248" s="510"/>
      <c r="T248" s="732"/>
      <c r="U248" s="418"/>
      <c r="V248" s="419"/>
    </row>
    <row r="249" spans="1:22" x14ac:dyDescent="0.3">
      <c r="A249" s="531" t="s">
        <v>467</v>
      </c>
      <c r="B249" s="639" t="s">
        <v>468</v>
      </c>
      <c r="C249" s="541">
        <v>50000</v>
      </c>
      <c r="D249" s="542">
        <v>55000</v>
      </c>
      <c r="E249" s="543">
        <v>51819.24</v>
      </c>
      <c r="F249" s="542">
        <v>60000</v>
      </c>
      <c r="G249" s="496"/>
      <c r="H249" s="498">
        <v>726</v>
      </c>
      <c r="I249" s="498">
        <v>726</v>
      </c>
      <c r="J249" s="498">
        <v>1996.5</v>
      </c>
      <c r="K249" s="498">
        <v>2136.75</v>
      </c>
      <c r="L249" s="498">
        <v>2499.75</v>
      </c>
      <c r="M249" s="498">
        <v>20385.75</v>
      </c>
      <c r="N249" s="498">
        <v>22943.25</v>
      </c>
      <c r="O249" s="498">
        <v>26990.04</v>
      </c>
      <c r="P249" s="498">
        <v>27155.040000000001</v>
      </c>
      <c r="Q249" s="498">
        <v>27320.04</v>
      </c>
      <c r="R249" s="498">
        <v>30034.29</v>
      </c>
      <c r="S249" s="498"/>
      <c r="T249" s="734">
        <v>44554.29</v>
      </c>
    </row>
    <row r="250" spans="1:22" x14ac:dyDescent="0.3">
      <c r="A250" s="531" t="s">
        <v>470</v>
      </c>
      <c r="B250" s="639" t="s">
        <v>1174</v>
      </c>
      <c r="C250" s="541">
        <v>45000</v>
      </c>
      <c r="D250" s="542">
        <v>50000</v>
      </c>
      <c r="E250" s="543">
        <v>40555</v>
      </c>
      <c r="F250" s="542">
        <v>50000</v>
      </c>
      <c r="G250" s="496"/>
      <c r="H250" s="498">
        <v>3930</v>
      </c>
      <c r="I250" s="498">
        <v>6287.5</v>
      </c>
      <c r="J250" s="498">
        <v>9110</v>
      </c>
      <c r="K250" s="498">
        <v>11240</v>
      </c>
      <c r="L250" s="498">
        <v>16400</v>
      </c>
      <c r="M250" s="498">
        <v>16880</v>
      </c>
      <c r="N250" s="498">
        <v>16880</v>
      </c>
      <c r="O250" s="498">
        <v>23890</v>
      </c>
      <c r="P250" s="498">
        <v>27080</v>
      </c>
      <c r="Q250" s="498">
        <v>32880</v>
      </c>
      <c r="R250" s="498">
        <v>35980</v>
      </c>
      <c r="S250" s="498"/>
      <c r="T250" s="734">
        <v>45570</v>
      </c>
    </row>
    <row r="251" spans="1:22" x14ac:dyDescent="0.3">
      <c r="A251" s="531" t="s">
        <v>473</v>
      </c>
      <c r="B251" s="639" t="s">
        <v>1175</v>
      </c>
      <c r="C251" s="541">
        <v>9500</v>
      </c>
      <c r="D251" s="542">
        <v>9500</v>
      </c>
      <c r="E251" s="543">
        <v>-561.76</v>
      </c>
      <c r="F251" s="542">
        <v>8000</v>
      </c>
      <c r="G251" s="496"/>
      <c r="H251" s="498">
        <v>0</v>
      </c>
      <c r="I251" s="498">
        <v>0</v>
      </c>
      <c r="J251" s="498">
        <v>0</v>
      </c>
      <c r="K251" s="498">
        <v>0</v>
      </c>
      <c r="L251" s="498">
        <v>0</v>
      </c>
      <c r="M251" s="498">
        <v>0</v>
      </c>
      <c r="N251" s="498">
        <v>0</v>
      </c>
      <c r="O251" s="498">
        <v>0</v>
      </c>
      <c r="P251" s="498">
        <v>0</v>
      </c>
      <c r="Q251" s="498">
        <v>0</v>
      </c>
      <c r="R251" s="498">
        <v>0</v>
      </c>
      <c r="S251" s="498"/>
      <c r="T251" s="734">
        <v>265.37</v>
      </c>
    </row>
    <row r="252" spans="1:22" x14ac:dyDescent="0.3">
      <c r="A252" s="531" t="s">
        <v>482</v>
      </c>
      <c r="B252" s="639" t="s">
        <v>1176</v>
      </c>
      <c r="C252" s="541">
        <v>500</v>
      </c>
      <c r="D252" s="542">
        <v>500</v>
      </c>
      <c r="E252" s="615">
        <v>0</v>
      </c>
      <c r="F252" s="542">
        <v>500</v>
      </c>
      <c r="G252" s="496"/>
      <c r="H252" s="498">
        <v>0</v>
      </c>
      <c r="I252" s="500">
        <v>0</v>
      </c>
      <c r="J252" s="500">
        <v>0</v>
      </c>
      <c r="K252" s="500">
        <v>0</v>
      </c>
      <c r="L252" s="500">
        <v>0</v>
      </c>
      <c r="M252" s="500">
        <v>0</v>
      </c>
      <c r="N252" s="500">
        <v>0</v>
      </c>
      <c r="O252" s="500">
        <v>0</v>
      </c>
      <c r="P252" s="500">
        <v>0</v>
      </c>
      <c r="Q252" s="500">
        <v>0</v>
      </c>
      <c r="R252" s="500">
        <v>0</v>
      </c>
      <c r="S252" s="500"/>
      <c r="T252" s="728">
        <v>0</v>
      </c>
      <c r="U252" s="538"/>
    </row>
    <row r="253" spans="1:22" s="533" customFormat="1" x14ac:dyDescent="0.3">
      <c r="A253" s="512" t="s">
        <v>490</v>
      </c>
      <c r="B253" s="638" t="s">
        <v>1031</v>
      </c>
      <c r="C253" s="541">
        <v>100000</v>
      </c>
      <c r="D253" s="542">
        <v>100000</v>
      </c>
      <c r="E253" s="615">
        <v>100000</v>
      </c>
      <c r="F253" s="542">
        <v>100000</v>
      </c>
      <c r="G253" s="504"/>
      <c r="H253" s="507">
        <v>0</v>
      </c>
      <c r="I253" s="507">
        <v>18000</v>
      </c>
      <c r="J253" s="507">
        <v>18000</v>
      </c>
      <c r="K253" s="507">
        <v>18000</v>
      </c>
      <c r="L253" s="507">
        <v>18000</v>
      </c>
      <c r="M253" s="507">
        <v>18000</v>
      </c>
      <c r="N253" s="507">
        <v>18000</v>
      </c>
      <c r="O253" s="507">
        <v>59000</v>
      </c>
      <c r="P253" s="507">
        <v>59000</v>
      </c>
      <c r="Q253" s="507">
        <v>59000</v>
      </c>
      <c r="R253" s="507">
        <v>83600</v>
      </c>
      <c r="S253" s="507"/>
      <c r="T253" s="729">
        <v>100000</v>
      </c>
      <c r="U253" s="532"/>
      <c r="V253" s="419"/>
    </row>
    <row r="254" spans="1:22" x14ac:dyDescent="0.3">
      <c r="A254" s="536"/>
      <c r="B254" s="487" t="s">
        <v>1177</v>
      </c>
      <c r="C254" s="489">
        <f t="shared" ref="C254:S254" si="5">SUM(C181:C253)</f>
        <v>506175</v>
      </c>
      <c r="D254" s="490">
        <f t="shared" si="5"/>
        <v>559175</v>
      </c>
      <c r="E254" s="516">
        <f t="shared" si="5"/>
        <v>409821.26</v>
      </c>
      <c r="F254" s="490">
        <f>SUM(F181:F253)</f>
        <v>491389.02</v>
      </c>
      <c r="G254" s="490">
        <f t="shared" si="5"/>
        <v>0</v>
      </c>
      <c r="H254" s="537">
        <f t="shared" si="5"/>
        <v>16340.09</v>
      </c>
      <c r="I254" s="537">
        <f t="shared" si="5"/>
        <v>45977.279999999999</v>
      </c>
      <c r="J254" s="537">
        <f t="shared" si="5"/>
        <v>59798.130000000005</v>
      </c>
      <c r="K254" s="537">
        <f t="shared" si="5"/>
        <v>69026.679999999993</v>
      </c>
      <c r="L254" s="537">
        <f t="shared" si="5"/>
        <v>87921.87</v>
      </c>
      <c r="M254" s="537">
        <f t="shared" si="5"/>
        <v>139060.88999999998</v>
      </c>
      <c r="N254" s="537">
        <f t="shared" si="5"/>
        <v>145083.03999999998</v>
      </c>
      <c r="O254" s="537">
        <f t="shared" si="5"/>
        <v>207273.22999999998</v>
      </c>
      <c r="P254" s="537">
        <f t="shared" si="5"/>
        <v>227646.81999999998</v>
      </c>
      <c r="Q254" s="537">
        <f t="shared" si="5"/>
        <v>240381.37</v>
      </c>
      <c r="R254" s="537">
        <f t="shared" si="5"/>
        <v>287246.96000000002</v>
      </c>
      <c r="S254" s="537">
        <f t="shared" si="5"/>
        <v>0</v>
      </c>
      <c r="T254" s="736">
        <f>SUM(T181:T253)</f>
        <v>386290.48</v>
      </c>
    </row>
    <row r="255" spans="1:22" x14ac:dyDescent="0.3">
      <c r="A255" s="493" t="s">
        <v>496</v>
      </c>
      <c r="B255" s="540" t="s">
        <v>1178</v>
      </c>
      <c r="C255" s="541">
        <v>25000</v>
      </c>
      <c r="D255" s="542">
        <v>25000</v>
      </c>
      <c r="E255" s="543">
        <v>6449.8</v>
      </c>
      <c r="F255" s="542">
        <v>10000</v>
      </c>
      <c r="G255" s="496"/>
      <c r="H255" s="498">
        <v>0</v>
      </c>
      <c r="I255" s="498">
        <v>0</v>
      </c>
      <c r="J255" s="498">
        <v>0</v>
      </c>
      <c r="K255" s="498">
        <v>0</v>
      </c>
      <c r="L255" s="498">
        <v>0</v>
      </c>
      <c r="M255" s="498">
        <v>0</v>
      </c>
      <c r="N255" s="498">
        <v>0</v>
      </c>
      <c r="O255" s="498">
        <v>950</v>
      </c>
      <c r="P255" s="498">
        <v>950</v>
      </c>
      <c r="Q255" s="498">
        <v>950</v>
      </c>
      <c r="R255" s="498">
        <v>950</v>
      </c>
      <c r="S255" s="498"/>
      <c r="T255" s="734">
        <v>950</v>
      </c>
    </row>
    <row r="256" spans="1:22" x14ac:dyDescent="0.3">
      <c r="A256" s="493" t="s">
        <v>501</v>
      </c>
      <c r="B256" s="540" t="s">
        <v>1179</v>
      </c>
      <c r="C256" s="541">
        <v>1500</v>
      </c>
      <c r="D256" s="542">
        <v>1500</v>
      </c>
      <c r="E256" s="543">
        <v>0</v>
      </c>
      <c r="F256" s="542">
        <v>1500</v>
      </c>
      <c r="G256" s="496"/>
      <c r="H256" s="498">
        <v>0</v>
      </c>
      <c r="I256" s="498">
        <v>0</v>
      </c>
      <c r="J256" s="498">
        <v>0</v>
      </c>
      <c r="K256" s="498">
        <v>0</v>
      </c>
      <c r="L256" s="498">
        <v>0</v>
      </c>
      <c r="M256" s="498">
        <v>0</v>
      </c>
      <c r="N256" s="498">
        <v>0</v>
      </c>
      <c r="O256" s="498">
        <v>0</v>
      </c>
      <c r="P256" s="498">
        <v>0</v>
      </c>
      <c r="Q256" s="498">
        <v>0</v>
      </c>
      <c r="R256" s="498">
        <v>0</v>
      </c>
      <c r="S256" s="498">
        <v>0</v>
      </c>
      <c r="T256" s="734">
        <v>0</v>
      </c>
    </row>
    <row r="257" spans="1:22" x14ac:dyDescent="0.3">
      <c r="A257" s="536"/>
      <c r="B257" s="487" t="s">
        <v>1180</v>
      </c>
      <c r="C257" s="489">
        <f t="shared" ref="C257:T257" si="6">SUM(C255:C256)</f>
        <v>26500</v>
      </c>
      <c r="D257" s="490">
        <f t="shared" si="6"/>
        <v>26500</v>
      </c>
      <c r="E257" s="516">
        <f t="shared" si="6"/>
        <v>6449.8</v>
      </c>
      <c r="F257" s="490">
        <f t="shared" si="6"/>
        <v>11500</v>
      </c>
      <c r="G257" s="490">
        <f t="shared" si="6"/>
        <v>0</v>
      </c>
      <c r="H257" s="537">
        <f t="shared" si="6"/>
        <v>0</v>
      </c>
      <c r="I257" s="537">
        <f t="shared" si="6"/>
        <v>0</v>
      </c>
      <c r="J257" s="537">
        <f t="shared" si="6"/>
        <v>0</v>
      </c>
      <c r="K257" s="537">
        <f t="shared" si="6"/>
        <v>0</v>
      </c>
      <c r="L257" s="537">
        <f t="shared" si="6"/>
        <v>0</v>
      </c>
      <c r="M257" s="537">
        <f t="shared" si="6"/>
        <v>0</v>
      </c>
      <c r="N257" s="537">
        <f t="shared" si="6"/>
        <v>0</v>
      </c>
      <c r="O257" s="537">
        <f t="shared" si="6"/>
        <v>950</v>
      </c>
      <c r="P257" s="537">
        <f t="shared" si="6"/>
        <v>950</v>
      </c>
      <c r="Q257" s="537">
        <f t="shared" si="6"/>
        <v>950</v>
      </c>
      <c r="R257" s="537">
        <f t="shared" si="6"/>
        <v>950</v>
      </c>
      <c r="S257" s="537">
        <f t="shared" si="6"/>
        <v>0</v>
      </c>
      <c r="T257" s="736">
        <f t="shared" si="6"/>
        <v>950</v>
      </c>
    </row>
    <row r="258" spans="1:22" x14ac:dyDescent="0.3">
      <c r="A258" s="493" t="s">
        <v>508</v>
      </c>
      <c r="B258" s="540" t="s">
        <v>1181</v>
      </c>
      <c r="C258" s="541">
        <v>0</v>
      </c>
      <c r="D258" s="542">
        <v>0</v>
      </c>
      <c r="E258" s="543">
        <v>0</v>
      </c>
      <c r="F258" s="542">
        <v>0</v>
      </c>
      <c r="G258" s="496"/>
      <c r="H258" s="498">
        <v>0</v>
      </c>
      <c r="I258" s="498">
        <v>0</v>
      </c>
      <c r="J258" s="498">
        <v>0</v>
      </c>
      <c r="K258" s="498">
        <v>0</v>
      </c>
      <c r="L258" s="498">
        <v>0</v>
      </c>
      <c r="M258" s="498">
        <v>0</v>
      </c>
      <c r="N258" s="498">
        <v>0</v>
      </c>
      <c r="O258" s="498">
        <v>0</v>
      </c>
      <c r="P258" s="498">
        <v>0</v>
      </c>
      <c r="Q258" s="498">
        <v>0</v>
      </c>
      <c r="R258" s="498">
        <v>0</v>
      </c>
      <c r="S258" s="498">
        <v>0</v>
      </c>
      <c r="T258" s="734">
        <v>0</v>
      </c>
    </row>
    <row r="259" spans="1:22" x14ac:dyDescent="0.3">
      <c r="A259" s="493" t="s">
        <v>510</v>
      </c>
      <c r="B259" s="540" t="s">
        <v>1182</v>
      </c>
      <c r="C259" s="541">
        <v>0</v>
      </c>
      <c r="D259" s="542">
        <v>0</v>
      </c>
      <c r="E259" s="543">
        <v>0</v>
      </c>
      <c r="F259" s="542">
        <v>60000</v>
      </c>
      <c r="G259" s="496"/>
      <c r="H259" s="498">
        <v>0</v>
      </c>
      <c r="I259" s="498">
        <v>0</v>
      </c>
      <c r="J259" s="498">
        <v>0</v>
      </c>
      <c r="K259" s="498">
        <v>0</v>
      </c>
      <c r="L259" s="498">
        <v>0</v>
      </c>
      <c r="M259" s="498">
        <v>0</v>
      </c>
      <c r="N259" s="498">
        <v>0</v>
      </c>
      <c r="O259" s="498">
        <v>0</v>
      </c>
      <c r="P259" s="498">
        <v>0</v>
      </c>
      <c r="Q259" s="498">
        <v>0</v>
      </c>
      <c r="R259" s="498">
        <v>0</v>
      </c>
      <c r="S259" s="498">
        <v>0</v>
      </c>
      <c r="T259" s="734">
        <v>60000</v>
      </c>
    </row>
    <row r="260" spans="1:22" x14ac:dyDescent="0.3">
      <c r="A260" s="534" t="s">
        <v>512</v>
      </c>
      <c r="B260" s="648" t="s">
        <v>1183</v>
      </c>
      <c r="C260" s="541">
        <v>5000</v>
      </c>
      <c r="D260" s="542">
        <v>5000</v>
      </c>
      <c r="E260" s="543">
        <v>5000</v>
      </c>
      <c r="F260" s="542">
        <v>0</v>
      </c>
      <c r="G260" s="496"/>
      <c r="H260" s="535">
        <v>0</v>
      </c>
      <c r="I260" s="535">
        <v>0</v>
      </c>
      <c r="J260" s="535">
        <v>0</v>
      </c>
      <c r="K260" s="535">
        <v>0</v>
      </c>
      <c r="L260" s="535">
        <v>0</v>
      </c>
      <c r="M260" s="535">
        <v>0</v>
      </c>
      <c r="N260" s="535">
        <v>0</v>
      </c>
      <c r="O260" s="535"/>
      <c r="P260" s="535"/>
      <c r="Q260" s="535"/>
      <c r="R260" s="535">
        <v>0</v>
      </c>
      <c r="S260" s="535">
        <v>0</v>
      </c>
      <c r="T260" s="735">
        <v>0</v>
      </c>
    </row>
    <row r="261" spans="1:22" x14ac:dyDescent="0.3">
      <c r="A261" s="536"/>
      <c r="B261" s="487" t="s">
        <v>1184</v>
      </c>
      <c r="C261" s="489">
        <f t="shared" ref="C261:N261" si="7">SUM(C258:C260)</f>
        <v>5000</v>
      </c>
      <c r="D261" s="490">
        <f t="shared" si="7"/>
        <v>5000</v>
      </c>
      <c r="E261" s="491">
        <f t="shared" si="7"/>
        <v>5000</v>
      </c>
      <c r="F261" s="490">
        <f t="shared" si="7"/>
        <v>60000</v>
      </c>
      <c r="G261" s="490">
        <f t="shared" si="7"/>
        <v>0</v>
      </c>
      <c r="H261" s="492">
        <f t="shared" si="7"/>
        <v>0</v>
      </c>
      <c r="I261" s="492">
        <f t="shared" si="7"/>
        <v>0</v>
      </c>
      <c r="J261" s="492">
        <f t="shared" si="7"/>
        <v>0</v>
      </c>
      <c r="K261" s="492">
        <f t="shared" si="7"/>
        <v>0</v>
      </c>
      <c r="L261" s="492">
        <f t="shared" si="7"/>
        <v>0</v>
      </c>
      <c r="M261" s="492">
        <f t="shared" si="7"/>
        <v>0</v>
      </c>
      <c r="N261" s="492">
        <f t="shared" si="7"/>
        <v>0</v>
      </c>
      <c r="O261" s="492">
        <f>SUM(O258:O259)</f>
        <v>0</v>
      </c>
      <c r="P261" s="492">
        <f>SUM(P258:P259)</f>
        <v>0</v>
      </c>
      <c r="Q261" s="492">
        <f>SUM(Q258:Q259)</f>
        <v>0</v>
      </c>
      <c r="R261" s="492">
        <f>SUM(R258:R260)</f>
        <v>0</v>
      </c>
      <c r="S261" s="492">
        <f>SUM(S258:S260)</f>
        <v>0</v>
      </c>
      <c r="T261" s="726">
        <f>SUM(T258:T259)</f>
        <v>60000</v>
      </c>
    </row>
    <row r="262" spans="1:22" x14ac:dyDescent="0.3">
      <c r="A262" s="539"/>
      <c r="B262" s="540"/>
      <c r="C262" s="541"/>
      <c r="D262" s="542"/>
      <c r="E262" s="543"/>
      <c r="F262" s="542"/>
      <c r="G262" s="542"/>
      <c r="H262" s="544"/>
      <c r="I262" s="544"/>
      <c r="J262" s="544"/>
      <c r="K262" s="544"/>
      <c r="L262" s="544"/>
      <c r="M262" s="544"/>
      <c r="N262" s="544"/>
      <c r="O262" s="544"/>
      <c r="P262" s="544"/>
      <c r="Q262" s="544"/>
      <c r="R262" s="544"/>
      <c r="S262" s="544"/>
      <c r="T262" s="737"/>
    </row>
    <row r="263" spans="1:22" x14ac:dyDescent="0.3">
      <c r="A263" s="536"/>
      <c r="B263" s="487" t="s">
        <v>1185</v>
      </c>
      <c r="C263" s="545">
        <f t="shared" ref="C263:T263" si="8">C55+C180+C254+C257+C261</f>
        <v>1749757.63</v>
      </c>
      <c r="D263" s="546">
        <f t="shared" si="8"/>
        <v>1769757.63</v>
      </c>
      <c r="E263" s="547">
        <f t="shared" si="8"/>
        <v>1395258.13</v>
      </c>
      <c r="F263" s="546">
        <f>F55+F180+F254+F257+F261</f>
        <v>1479844.02</v>
      </c>
      <c r="G263" s="546">
        <f t="shared" si="8"/>
        <v>0</v>
      </c>
      <c r="H263" s="537">
        <f t="shared" si="8"/>
        <v>79380.58</v>
      </c>
      <c r="I263" s="537">
        <f t="shared" si="8"/>
        <v>157225.41999999998</v>
      </c>
      <c r="J263" s="537">
        <f t="shared" si="8"/>
        <v>268031.52</v>
      </c>
      <c r="K263" s="537">
        <f t="shared" si="8"/>
        <v>342017.21</v>
      </c>
      <c r="L263" s="537">
        <f t="shared" si="8"/>
        <v>391356.77</v>
      </c>
      <c r="M263" s="537">
        <f t="shared" si="8"/>
        <v>468607.18000000005</v>
      </c>
      <c r="N263" s="537">
        <f t="shared" si="8"/>
        <v>484277.25000000006</v>
      </c>
      <c r="O263" s="548">
        <f t="shared" si="8"/>
        <v>582426.91</v>
      </c>
      <c r="P263" s="549">
        <f t="shared" si="8"/>
        <v>721845.62</v>
      </c>
      <c r="Q263" s="549">
        <f t="shared" si="8"/>
        <v>767911.67</v>
      </c>
      <c r="R263" s="549">
        <f t="shared" si="8"/>
        <v>917245.78</v>
      </c>
      <c r="S263" s="549">
        <f t="shared" si="8"/>
        <v>0</v>
      </c>
      <c r="T263" s="738">
        <f t="shared" si="8"/>
        <v>1215421.75</v>
      </c>
    </row>
    <row r="264" spans="1:22" x14ac:dyDescent="0.3">
      <c r="A264" s="432"/>
      <c r="B264" s="550" t="s">
        <v>829</v>
      </c>
      <c r="C264" s="551">
        <f t="shared" ref="C264:T264" si="9">C30</f>
        <v>2093000</v>
      </c>
      <c r="D264" s="552">
        <f t="shared" si="9"/>
        <v>2054000</v>
      </c>
      <c r="E264" s="553">
        <f t="shared" si="9"/>
        <v>2020618.47</v>
      </c>
      <c r="F264" s="552">
        <f t="shared" si="9"/>
        <v>1480000</v>
      </c>
      <c r="G264" s="552">
        <f t="shared" si="9"/>
        <v>0</v>
      </c>
      <c r="H264" s="554">
        <f t="shared" si="9"/>
        <v>629480.31999999995</v>
      </c>
      <c r="I264" s="554">
        <f t="shared" si="9"/>
        <v>636619.49</v>
      </c>
      <c r="J264" s="554">
        <f t="shared" si="9"/>
        <v>645850.54999999993</v>
      </c>
      <c r="K264" s="479">
        <f t="shared" si="9"/>
        <v>668576.54999999993</v>
      </c>
      <c r="L264" s="479">
        <f t="shared" si="9"/>
        <v>682840.79999999993</v>
      </c>
      <c r="M264" s="554">
        <f t="shared" si="9"/>
        <v>705619.79999999993</v>
      </c>
      <c r="N264" s="554">
        <f t="shared" si="9"/>
        <v>705919.6</v>
      </c>
      <c r="O264" s="554">
        <f t="shared" si="9"/>
        <v>961707.15</v>
      </c>
      <c r="P264" s="555">
        <f t="shared" si="9"/>
        <v>1180910.25</v>
      </c>
      <c r="Q264" s="555">
        <f t="shared" si="9"/>
        <v>1233145.43</v>
      </c>
      <c r="R264" s="555">
        <f t="shared" si="9"/>
        <v>1254708.3899999999</v>
      </c>
      <c r="S264" s="555">
        <f t="shared" si="9"/>
        <v>0</v>
      </c>
      <c r="T264" s="739">
        <f t="shared" si="9"/>
        <v>1500919.53</v>
      </c>
    </row>
    <row r="265" spans="1:22" x14ac:dyDescent="0.3">
      <c r="A265" s="539"/>
      <c r="B265" s="540"/>
      <c r="C265" s="541"/>
      <c r="D265" s="542"/>
      <c r="E265" s="543"/>
      <c r="F265" s="542"/>
      <c r="G265" s="542"/>
      <c r="H265" s="544"/>
      <c r="I265" s="544"/>
      <c r="J265" s="544"/>
      <c r="K265" s="544"/>
      <c r="L265" s="544"/>
      <c r="M265" s="544"/>
      <c r="N265" s="544"/>
      <c r="O265" s="544"/>
      <c r="P265" s="544"/>
      <c r="Q265" s="544"/>
      <c r="R265" s="544"/>
      <c r="S265" s="544"/>
      <c r="T265" s="737"/>
    </row>
    <row r="266" spans="1:22" s="563" customFormat="1" x14ac:dyDescent="0.3">
      <c r="A266" s="556"/>
      <c r="B266" s="557" t="s">
        <v>1186</v>
      </c>
      <c r="C266" s="558">
        <f t="shared" ref="C266:T266" si="10">C264-C263</f>
        <v>343242.37000000011</v>
      </c>
      <c r="D266" s="559">
        <f t="shared" si="10"/>
        <v>284242.37000000011</v>
      </c>
      <c r="E266" s="560">
        <f t="shared" si="10"/>
        <v>625360.34000000008</v>
      </c>
      <c r="F266" s="559">
        <f t="shared" si="10"/>
        <v>155.97999999998137</v>
      </c>
      <c r="G266" s="559">
        <f t="shared" si="10"/>
        <v>0</v>
      </c>
      <c r="H266" s="561">
        <f t="shared" si="10"/>
        <v>550099.74</v>
      </c>
      <c r="I266" s="561">
        <f t="shared" si="10"/>
        <v>479394.07</v>
      </c>
      <c r="J266" s="562">
        <f t="shared" si="10"/>
        <v>377819.02999999991</v>
      </c>
      <c r="K266" s="562">
        <f t="shared" si="10"/>
        <v>326559.33999999991</v>
      </c>
      <c r="L266" s="562">
        <f t="shared" si="10"/>
        <v>291484.02999999991</v>
      </c>
      <c r="M266" s="562">
        <f t="shared" si="10"/>
        <v>237012.61999999988</v>
      </c>
      <c r="N266" s="562">
        <f t="shared" si="10"/>
        <v>221642.34999999992</v>
      </c>
      <c r="O266" s="562">
        <f t="shared" si="10"/>
        <v>379280.24</v>
      </c>
      <c r="P266" s="562">
        <f t="shared" si="10"/>
        <v>459064.63</v>
      </c>
      <c r="Q266" s="562">
        <f t="shared" si="10"/>
        <v>465233.75999999989</v>
      </c>
      <c r="R266" s="562">
        <f t="shared" si="10"/>
        <v>337462.60999999987</v>
      </c>
      <c r="S266" s="562">
        <f t="shared" si="10"/>
        <v>0</v>
      </c>
      <c r="T266" s="740">
        <f t="shared" si="10"/>
        <v>285497.78000000003</v>
      </c>
      <c r="U266" s="395">
        <v>200000</v>
      </c>
      <c r="V266" s="419"/>
    </row>
    <row r="267" spans="1:22" x14ac:dyDescent="0.3">
      <c r="C267" s="564"/>
      <c r="D267" s="565"/>
      <c r="E267" s="566"/>
      <c r="F267" s="565"/>
      <c r="G267" s="565"/>
      <c r="H267" s="567"/>
      <c r="I267" s="567"/>
      <c r="J267" s="567"/>
      <c r="K267" s="567"/>
      <c r="L267" s="567"/>
      <c r="M267" s="567"/>
      <c r="N267" s="567"/>
      <c r="O267" s="567"/>
      <c r="P267" s="567"/>
      <c r="Q267" s="567"/>
      <c r="R267" s="567"/>
      <c r="S267" s="567"/>
      <c r="T267" s="567"/>
      <c r="V267" s="568"/>
    </row>
    <row r="268" spans="1:22" x14ac:dyDescent="0.3">
      <c r="C268" s="569" t="s">
        <v>1187</v>
      </c>
      <c r="D268" s="570" t="s">
        <v>1187</v>
      </c>
      <c r="F268" s="570" t="s">
        <v>1188</v>
      </c>
      <c r="G268" s="570" t="s">
        <v>1188</v>
      </c>
      <c r="V268" s="568"/>
    </row>
    <row r="269" spans="1:22" x14ac:dyDescent="0.3">
      <c r="B269" s="572" t="s">
        <v>514</v>
      </c>
      <c r="C269" s="564"/>
      <c r="D269" s="565"/>
      <c r="E269" s="566"/>
      <c r="F269" s="565"/>
      <c r="G269" s="565"/>
      <c r="H269" s="567"/>
      <c r="I269" s="567"/>
      <c r="J269" s="567"/>
      <c r="K269" s="567"/>
      <c r="L269" s="567"/>
      <c r="M269" s="567"/>
      <c r="N269" s="567"/>
      <c r="O269" s="567"/>
      <c r="P269" s="567"/>
      <c r="Q269" s="567"/>
      <c r="R269" s="567"/>
      <c r="S269" s="567"/>
      <c r="T269" s="567"/>
    </row>
    <row r="270" spans="1:22" x14ac:dyDescent="0.3">
      <c r="B270" s="573" t="s">
        <v>516</v>
      </c>
      <c r="C270" s="574">
        <f>C281</f>
        <v>658242.37000000011</v>
      </c>
      <c r="D270" s="575">
        <f>D281</f>
        <v>599242.37000000011</v>
      </c>
      <c r="E270" s="576">
        <v>940360.34</v>
      </c>
      <c r="F270" s="575">
        <f>F281</f>
        <v>180155.97999999998</v>
      </c>
      <c r="G270" s="575"/>
      <c r="H270" s="577">
        <v>865099.74</v>
      </c>
      <c r="I270" s="577">
        <v>794394.07</v>
      </c>
      <c r="J270" s="577">
        <v>692819.03</v>
      </c>
      <c r="K270" s="578">
        <v>641559.34</v>
      </c>
      <c r="L270" s="578">
        <v>606484.03</v>
      </c>
      <c r="M270" s="578">
        <v>552012.62</v>
      </c>
      <c r="N270" s="578">
        <v>536642.35</v>
      </c>
      <c r="O270" s="579">
        <v>694280.24</v>
      </c>
      <c r="P270" s="579">
        <v>774064.63</v>
      </c>
      <c r="Q270" s="579">
        <v>780233.76</v>
      </c>
      <c r="R270" s="579">
        <v>652462.61</v>
      </c>
      <c r="S270" s="579"/>
      <c r="T270" s="579"/>
    </row>
    <row r="271" spans="1:22" x14ac:dyDescent="0.3">
      <c r="B271" s="573" t="s">
        <v>517</v>
      </c>
      <c r="C271" s="574">
        <v>0</v>
      </c>
      <c r="D271" s="575">
        <v>0</v>
      </c>
      <c r="E271" s="576"/>
      <c r="F271" s="575">
        <v>0</v>
      </c>
      <c r="G271" s="575">
        <v>0</v>
      </c>
      <c r="H271" s="578">
        <v>0</v>
      </c>
      <c r="I271" s="578">
        <v>0</v>
      </c>
      <c r="J271" s="578">
        <v>0</v>
      </c>
      <c r="K271" s="578">
        <v>0</v>
      </c>
      <c r="L271" s="578">
        <v>0</v>
      </c>
      <c r="M271" s="578">
        <v>0</v>
      </c>
      <c r="N271" s="578">
        <v>0</v>
      </c>
      <c r="O271" s="579">
        <v>0</v>
      </c>
      <c r="P271" s="579">
        <v>0</v>
      </c>
      <c r="Q271" s="579">
        <v>0</v>
      </c>
      <c r="R271" s="579">
        <v>0</v>
      </c>
      <c r="S271" s="579"/>
      <c r="T271" s="579"/>
    </row>
    <row r="272" spans="1:22" x14ac:dyDescent="0.3">
      <c r="B272" s="573" t="s">
        <v>518</v>
      </c>
      <c r="C272" s="574">
        <v>0</v>
      </c>
      <c r="D272" s="575">
        <v>0</v>
      </c>
      <c r="E272" s="576"/>
      <c r="F272" s="575">
        <v>0</v>
      </c>
      <c r="G272" s="575">
        <v>0</v>
      </c>
      <c r="H272" s="578">
        <v>0</v>
      </c>
      <c r="I272" s="578">
        <v>0</v>
      </c>
      <c r="J272" s="578">
        <v>0</v>
      </c>
      <c r="K272" s="578">
        <v>0</v>
      </c>
      <c r="L272" s="578">
        <v>0</v>
      </c>
      <c r="M272" s="578">
        <v>0</v>
      </c>
      <c r="N272" s="578">
        <v>0</v>
      </c>
      <c r="O272" s="579">
        <v>0</v>
      </c>
      <c r="P272" s="579">
        <v>0</v>
      </c>
      <c r="Q272" s="579">
        <v>0</v>
      </c>
      <c r="R272" s="579">
        <v>0</v>
      </c>
      <c r="S272" s="579">
        <v>0</v>
      </c>
      <c r="T272" s="579"/>
    </row>
    <row r="273" spans="2:22" x14ac:dyDescent="0.3">
      <c r="B273" s="580"/>
      <c r="C273" s="574"/>
      <c r="D273" s="575"/>
      <c r="E273" s="576">
        <v>0</v>
      </c>
      <c r="F273" s="575"/>
      <c r="G273" s="575"/>
      <c r="H273" s="578"/>
      <c r="I273" s="578"/>
      <c r="J273" s="578"/>
      <c r="K273" s="578"/>
      <c r="L273" s="578"/>
      <c r="M273" s="578"/>
      <c r="N273" s="578"/>
      <c r="O273" s="581"/>
      <c r="P273" s="579"/>
      <c r="Q273" s="579"/>
      <c r="R273" s="579"/>
      <c r="S273" s="579"/>
      <c r="T273" s="579">
        <v>0</v>
      </c>
    </row>
    <row r="274" spans="2:22" x14ac:dyDescent="0.3">
      <c r="B274" s="572" t="s">
        <v>519</v>
      </c>
      <c r="C274" s="582">
        <f>SUM(C270:C273)</f>
        <v>658242.37000000011</v>
      </c>
      <c r="D274" s="583">
        <f>SUM(D270:D273)</f>
        <v>599242.37000000011</v>
      </c>
      <c r="E274" s="584">
        <f>SUM(E270:E273)</f>
        <v>940360.34</v>
      </c>
      <c r="F274" s="583">
        <f>SUM(F270:F273)</f>
        <v>180155.97999999998</v>
      </c>
      <c r="G274" s="583">
        <f>SUM(G270:G273)</f>
        <v>0</v>
      </c>
      <c r="H274" s="585">
        <f t="shared" ref="H274:N274" si="11">SUM(H270:H272)</f>
        <v>865099.74</v>
      </c>
      <c r="I274" s="585">
        <f t="shared" si="11"/>
        <v>794394.07</v>
      </c>
      <c r="J274" s="585">
        <f t="shared" si="11"/>
        <v>692819.03</v>
      </c>
      <c r="K274" s="585">
        <f t="shared" si="11"/>
        <v>641559.34</v>
      </c>
      <c r="L274" s="586">
        <f t="shared" si="11"/>
        <v>606484.03</v>
      </c>
      <c r="M274" s="586">
        <f t="shared" si="11"/>
        <v>552012.62</v>
      </c>
      <c r="N274" s="586">
        <f t="shared" si="11"/>
        <v>536642.35</v>
      </c>
      <c r="O274" s="586">
        <f t="shared" ref="O274:T274" si="12">SUM(O270:O273)</f>
        <v>694280.24</v>
      </c>
      <c r="P274" s="586">
        <f t="shared" si="12"/>
        <v>774064.63</v>
      </c>
      <c r="Q274" s="586">
        <f t="shared" si="12"/>
        <v>780233.76</v>
      </c>
      <c r="R274" s="586">
        <f t="shared" si="12"/>
        <v>652462.61</v>
      </c>
      <c r="S274" s="586">
        <f t="shared" si="12"/>
        <v>0</v>
      </c>
      <c r="T274" s="586">
        <f t="shared" si="12"/>
        <v>0</v>
      </c>
    </row>
    <row r="275" spans="2:22" x14ac:dyDescent="0.3">
      <c r="C275" s="587"/>
      <c r="D275" s="581"/>
      <c r="E275" s="576"/>
      <c r="F275" s="581"/>
      <c r="G275" s="581"/>
      <c r="H275" s="578"/>
      <c r="I275" s="578"/>
      <c r="J275" s="578"/>
      <c r="K275" s="578"/>
      <c r="L275" s="578"/>
      <c r="M275" s="578"/>
      <c r="N275" s="578"/>
      <c r="O275" s="579"/>
      <c r="P275" s="579"/>
      <c r="Q275" s="579"/>
      <c r="R275" s="579"/>
      <c r="S275" s="579"/>
      <c r="T275" s="579"/>
    </row>
    <row r="276" spans="2:22" x14ac:dyDescent="0.3">
      <c r="B276" s="572" t="s">
        <v>520</v>
      </c>
      <c r="C276" s="587"/>
      <c r="D276" s="581"/>
      <c r="E276" s="576"/>
      <c r="F276" s="581"/>
      <c r="G276" s="581"/>
      <c r="H276" s="588"/>
      <c r="I276" s="588"/>
      <c r="J276" s="588"/>
      <c r="K276" s="588"/>
      <c r="L276" s="588"/>
      <c r="M276" s="588"/>
      <c r="N276" s="588"/>
      <c r="O276" s="579"/>
      <c r="P276" s="579"/>
      <c r="Q276" s="579"/>
      <c r="R276" s="579"/>
      <c r="S276" s="579"/>
      <c r="T276" s="579"/>
    </row>
    <row r="277" spans="2:22" x14ac:dyDescent="0.3">
      <c r="B277" s="573" t="s">
        <v>521</v>
      </c>
      <c r="C277" s="582">
        <f>C$266</f>
        <v>343242.37000000011</v>
      </c>
      <c r="D277" s="583">
        <f>D266</f>
        <v>284242.37000000011</v>
      </c>
      <c r="E277" s="584">
        <f>E266</f>
        <v>625360.34000000008</v>
      </c>
      <c r="F277" s="583">
        <f>F$266</f>
        <v>155.97999999998137</v>
      </c>
      <c r="G277" s="583">
        <f>G266</f>
        <v>0</v>
      </c>
      <c r="H277" s="583">
        <f t="shared" ref="H277:T277" si="13">H266</f>
        <v>550099.74</v>
      </c>
      <c r="I277" s="586">
        <f t="shared" si="13"/>
        <v>479394.07</v>
      </c>
      <c r="J277" s="586">
        <f t="shared" si="13"/>
        <v>377819.02999999991</v>
      </c>
      <c r="K277" s="586">
        <f t="shared" si="13"/>
        <v>326559.33999999991</v>
      </c>
      <c r="L277" s="586">
        <f t="shared" si="13"/>
        <v>291484.02999999991</v>
      </c>
      <c r="M277" s="586">
        <f t="shared" si="13"/>
        <v>237012.61999999988</v>
      </c>
      <c r="N277" s="586">
        <f t="shared" si="13"/>
        <v>221642.34999999992</v>
      </c>
      <c r="O277" s="586">
        <f t="shared" si="13"/>
        <v>379280.24</v>
      </c>
      <c r="P277" s="586">
        <f t="shared" si="13"/>
        <v>459064.63</v>
      </c>
      <c r="Q277" s="586">
        <f t="shared" si="13"/>
        <v>465233.75999999989</v>
      </c>
      <c r="R277" s="586">
        <f t="shared" si="13"/>
        <v>337462.60999999987</v>
      </c>
      <c r="S277" s="586">
        <f t="shared" si="13"/>
        <v>0</v>
      </c>
      <c r="T277" s="586">
        <f t="shared" si="13"/>
        <v>285497.78000000003</v>
      </c>
    </row>
    <row r="278" spans="2:22" x14ac:dyDescent="0.3">
      <c r="B278" s="573" t="s">
        <v>504</v>
      </c>
      <c r="C278" s="582">
        <v>115000</v>
      </c>
      <c r="D278" s="583">
        <v>115000</v>
      </c>
      <c r="E278" s="589">
        <v>115000</v>
      </c>
      <c r="F278" s="583">
        <v>115000</v>
      </c>
      <c r="G278" s="583">
        <v>115000</v>
      </c>
      <c r="H278" s="590">
        <v>115000</v>
      </c>
      <c r="I278" s="578">
        <v>115000</v>
      </c>
      <c r="J278" s="578">
        <v>115000</v>
      </c>
      <c r="K278" s="578">
        <v>115000</v>
      </c>
      <c r="L278" s="578">
        <v>115000</v>
      </c>
      <c r="M278" s="578">
        <v>115000</v>
      </c>
      <c r="N278" s="578">
        <v>115000</v>
      </c>
      <c r="O278" s="578">
        <v>115000</v>
      </c>
      <c r="P278" s="578">
        <v>115000</v>
      </c>
      <c r="Q278" s="578">
        <v>115000</v>
      </c>
      <c r="R278" s="578">
        <v>115000</v>
      </c>
      <c r="S278" s="578"/>
      <c r="T278" s="578">
        <v>115000</v>
      </c>
    </row>
    <row r="279" spans="2:22" x14ac:dyDescent="0.3">
      <c r="B279" s="573" t="s">
        <v>1189</v>
      </c>
      <c r="C279" s="582">
        <v>5000</v>
      </c>
      <c r="D279" s="583">
        <v>5000</v>
      </c>
      <c r="E279" s="589">
        <v>5000</v>
      </c>
      <c r="F279" s="583">
        <v>5000</v>
      </c>
      <c r="G279" s="583">
        <v>5000</v>
      </c>
      <c r="H279" s="590">
        <v>5000</v>
      </c>
      <c r="I279" s="578">
        <v>5000</v>
      </c>
      <c r="J279" s="578">
        <v>5000</v>
      </c>
      <c r="K279" s="578">
        <v>5000</v>
      </c>
      <c r="L279" s="578">
        <v>5000</v>
      </c>
      <c r="M279" s="578">
        <v>5000</v>
      </c>
      <c r="N279" s="578">
        <v>5000</v>
      </c>
      <c r="O279" s="578">
        <v>5000</v>
      </c>
      <c r="P279" s="578">
        <v>5000</v>
      </c>
      <c r="Q279" s="578">
        <v>5000</v>
      </c>
      <c r="R279" s="578">
        <v>5000</v>
      </c>
      <c r="S279" s="578"/>
      <c r="T279" s="578">
        <v>5000</v>
      </c>
    </row>
    <row r="280" spans="2:22" x14ac:dyDescent="0.3">
      <c r="B280" s="573" t="s">
        <v>523</v>
      </c>
      <c r="C280" s="582">
        <v>195000</v>
      </c>
      <c r="D280" s="583">
        <v>195000</v>
      </c>
      <c r="E280" s="589">
        <v>195000</v>
      </c>
      <c r="F280" s="583">
        <v>60000</v>
      </c>
      <c r="G280" s="583">
        <v>60000</v>
      </c>
      <c r="H280" s="590">
        <v>195000</v>
      </c>
      <c r="I280" s="578">
        <v>195000</v>
      </c>
      <c r="J280" s="578">
        <v>195000</v>
      </c>
      <c r="K280" s="578">
        <v>195000</v>
      </c>
      <c r="L280" s="578">
        <v>195000</v>
      </c>
      <c r="M280" s="578">
        <v>195000</v>
      </c>
      <c r="N280" s="578">
        <v>195000</v>
      </c>
      <c r="O280" s="578">
        <v>195000</v>
      </c>
      <c r="P280" s="578">
        <v>195000</v>
      </c>
      <c r="Q280" s="578">
        <v>195000</v>
      </c>
      <c r="R280" s="578">
        <v>195000</v>
      </c>
      <c r="S280" s="578"/>
      <c r="T280" s="578">
        <v>60000</v>
      </c>
    </row>
    <row r="281" spans="2:22" x14ac:dyDescent="0.3">
      <c r="B281" s="572" t="s">
        <v>524</v>
      </c>
      <c r="C281" s="582">
        <f>SUM(C$277:C$280)</f>
        <v>658242.37000000011</v>
      </c>
      <c r="D281" s="583">
        <f>SUM(D277:D280)</f>
        <v>599242.37000000011</v>
      </c>
      <c r="E281" s="584">
        <f>SUM(E277:E280)</f>
        <v>940360.34000000008</v>
      </c>
      <c r="F281" s="583">
        <f>SUM(F$277:F$280)</f>
        <v>180155.97999999998</v>
      </c>
      <c r="G281" s="583">
        <f>SUM(G277:G280)</f>
        <v>180000</v>
      </c>
      <c r="H281" s="583">
        <f>SUM(H$277:H$280)</f>
        <v>865099.74</v>
      </c>
      <c r="I281" s="585">
        <f t="shared" ref="I281:T281" si="14">SUM(I277:I280)</f>
        <v>794394.07000000007</v>
      </c>
      <c r="J281" s="585">
        <f t="shared" si="14"/>
        <v>692819.02999999991</v>
      </c>
      <c r="K281" s="586">
        <f t="shared" si="14"/>
        <v>641559.33999999985</v>
      </c>
      <c r="L281" s="586">
        <f t="shared" si="14"/>
        <v>606484.02999999991</v>
      </c>
      <c r="M281" s="586">
        <f t="shared" si="14"/>
        <v>552012.61999999988</v>
      </c>
      <c r="N281" s="586">
        <f t="shared" si="14"/>
        <v>536642.34999999986</v>
      </c>
      <c r="O281" s="586">
        <f t="shared" si="14"/>
        <v>694280.24</v>
      </c>
      <c r="P281" s="586">
        <f t="shared" si="14"/>
        <v>774064.63</v>
      </c>
      <c r="Q281" s="586">
        <f t="shared" si="14"/>
        <v>780233.75999999989</v>
      </c>
      <c r="R281" s="586">
        <f t="shared" si="14"/>
        <v>652462.60999999987</v>
      </c>
      <c r="S281" s="586">
        <f t="shared" si="14"/>
        <v>0</v>
      </c>
      <c r="T281" s="586">
        <f t="shared" si="14"/>
        <v>465497.78</v>
      </c>
    </row>
    <row r="282" spans="2:22" x14ac:dyDescent="0.3">
      <c r="C282" s="582"/>
      <c r="D282" s="583"/>
      <c r="E282" s="591"/>
      <c r="F282" s="583"/>
      <c r="G282" s="583"/>
      <c r="H282" s="567"/>
      <c r="I282" s="567"/>
      <c r="J282" s="567"/>
      <c r="K282" s="567"/>
      <c r="L282" s="567"/>
      <c r="M282" s="567"/>
      <c r="N282" s="567"/>
      <c r="O282" s="592"/>
      <c r="P282" s="592"/>
      <c r="Q282" s="592"/>
      <c r="R282" s="592"/>
      <c r="S282" s="592"/>
      <c r="T282" s="592"/>
    </row>
    <row r="283" spans="2:22" x14ac:dyDescent="0.3">
      <c r="B283" s="572"/>
      <c r="C283" s="593"/>
      <c r="D283" s="594"/>
      <c r="E283" s="591"/>
      <c r="F283" s="594"/>
      <c r="G283" s="594"/>
      <c r="O283" s="592"/>
      <c r="P283" s="592"/>
      <c r="Q283" s="592"/>
      <c r="R283" s="592"/>
      <c r="S283" s="592"/>
      <c r="T283" s="592"/>
    </row>
    <row r="284" spans="2:22" s="420" customFormat="1" x14ac:dyDescent="0.3">
      <c r="B284" s="572" t="s">
        <v>525</v>
      </c>
      <c r="C284" s="595" t="s">
        <v>1187</v>
      </c>
      <c r="D284" s="596" t="s">
        <v>1187</v>
      </c>
      <c r="E284" s="597"/>
      <c r="F284" s="596" t="s">
        <v>1187</v>
      </c>
      <c r="G284" s="596" t="s">
        <v>1188</v>
      </c>
      <c r="H284" s="598"/>
      <c r="I284" s="598"/>
      <c r="J284" s="598"/>
      <c r="K284" s="598"/>
      <c r="L284" s="598"/>
      <c r="M284" s="598"/>
      <c r="N284" s="598"/>
      <c r="O284" s="598"/>
      <c r="P284" s="598"/>
      <c r="Q284" s="598"/>
      <c r="R284" s="598"/>
      <c r="S284" s="598"/>
      <c r="T284" s="598"/>
      <c r="U284" s="418"/>
      <c r="V284" s="396"/>
    </row>
    <row r="285" spans="2:22" x14ac:dyDescent="0.3">
      <c r="B285" s="599"/>
      <c r="C285" s="582"/>
      <c r="D285" s="583"/>
      <c r="E285" s="591"/>
      <c r="F285" s="583"/>
      <c r="G285" s="583"/>
      <c r="H285" s="567"/>
      <c r="I285" s="567"/>
      <c r="J285" s="567"/>
      <c r="K285" s="567"/>
      <c r="L285" s="567"/>
      <c r="M285" s="567"/>
      <c r="N285" s="567"/>
      <c r="O285" s="600"/>
      <c r="P285" s="592"/>
      <c r="Q285" s="592"/>
      <c r="R285" s="592"/>
      <c r="S285" s="592"/>
      <c r="T285" s="592"/>
    </row>
    <row r="286" spans="2:22" s="420" customFormat="1" x14ac:dyDescent="0.3">
      <c r="B286" s="601" t="s">
        <v>514</v>
      </c>
      <c r="C286" s="602">
        <f>C274</f>
        <v>658242.37000000011</v>
      </c>
      <c r="D286" s="603">
        <f>D281</f>
        <v>599242.37000000011</v>
      </c>
      <c r="E286" s="597"/>
      <c r="F286" s="603">
        <f>F274</f>
        <v>180155.97999999998</v>
      </c>
      <c r="G286" s="603"/>
      <c r="H286" s="598"/>
      <c r="I286" s="598"/>
      <c r="J286" s="598"/>
      <c r="K286" s="598"/>
      <c r="L286" s="598"/>
      <c r="M286" s="598"/>
      <c r="N286" s="598"/>
      <c r="O286" s="598"/>
      <c r="P286" s="598"/>
      <c r="Q286" s="598"/>
      <c r="R286" s="598"/>
      <c r="S286" s="598"/>
      <c r="T286" s="598"/>
      <c r="U286" s="418"/>
      <c r="V286" s="396"/>
    </row>
    <row r="287" spans="2:22" s="420" customFormat="1" x14ac:dyDescent="0.3">
      <c r="B287" s="604" t="s">
        <v>1190</v>
      </c>
      <c r="C287" s="582"/>
      <c r="D287" s="583"/>
      <c r="E287" s="591"/>
      <c r="F287" s="583"/>
      <c r="G287" s="583"/>
      <c r="H287" s="567"/>
      <c r="I287" s="567"/>
      <c r="J287" s="567"/>
      <c r="K287" s="567"/>
      <c r="L287" s="567"/>
      <c r="M287" s="567"/>
      <c r="N287" s="567"/>
      <c r="O287" s="592"/>
      <c r="P287" s="592"/>
      <c r="Q287" s="592"/>
      <c r="R287" s="592"/>
      <c r="S287" s="592"/>
      <c r="T287" s="592"/>
      <c r="U287" s="418"/>
      <c r="V287" s="396"/>
    </row>
    <row r="288" spans="2:22" s="420" customFormat="1" x14ac:dyDescent="0.3">
      <c r="B288" s="601" t="s">
        <v>1191</v>
      </c>
      <c r="C288" s="582">
        <f>C24*0.05</f>
        <v>61050</v>
      </c>
      <c r="D288" s="583">
        <f>D24*0.05</f>
        <v>59000</v>
      </c>
      <c r="E288" s="597"/>
      <c r="F288" s="583">
        <f>F24*0.05</f>
        <v>28000</v>
      </c>
      <c r="G288" s="583">
        <f>G24*0.05</f>
        <v>0</v>
      </c>
      <c r="H288" s="598"/>
      <c r="I288" s="598"/>
      <c r="J288" s="598"/>
      <c r="K288" s="598"/>
      <c r="L288" s="605"/>
      <c r="M288" s="598"/>
      <c r="N288" s="598"/>
      <c r="O288" s="598"/>
      <c r="P288" s="598"/>
      <c r="Q288" s="598"/>
      <c r="R288" s="598"/>
      <c r="S288" s="598"/>
      <c r="T288" s="598"/>
      <c r="U288" s="418"/>
      <c r="V288" s="396"/>
    </row>
    <row r="289" spans="2:7" x14ac:dyDescent="0.3">
      <c r="B289" s="606" t="s">
        <v>1192</v>
      </c>
      <c r="C289" s="607">
        <f>C286-C288</f>
        <v>597192.37000000011</v>
      </c>
      <c r="D289" s="608">
        <f>D286-D288</f>
        <v>540242.37000000011</v>
      </c>
      <c r="F289" s="608">
        <f>F286-F288</f>
        <v>152155.97999999998</v>
      </c>
      <c r="G289" s="608">
        <f>G286-G288</f>
        <v>0</v>
      </c>
    </row>
    <row r="290" spans="2:7" x14ac:dyDescent="0.3">
      <c r="C290" s="593"/>
      <c r="D290" s="594"/>
      <c r="F290" s="594"/>
      <c r="G290" s="594"/>
    </row>
    <row r="291" spans="2:7" x14ac:dyDescent="0.3">
      <c r="B291" s="609" t="s">
        <v>1193</v>
      </c>
      <c r="C291" s="582">
        <f>C24*0.18</f>
        <v>219780</v>
      </c>
      <c r="D291" s="583">
        <f>D24*0.18</f>
        <v>212400</v>
      </c>
      <c r="F291" s="583">
        <f>F24*0.18</f>
        <v>100800</v>
      </c>
      <c r="G291" s="583">
        <f>G24*0.18</f>
        <v>0</v>
      </c>
    </row>
    <row r="292" spans="2:7" x14ac:dyDescent="0.3">
      <c r="B292" s="599"/>
    </row>
    <row r="293" spans="2:7" x14ac:dyDescent="0.3">
      <c r="B293" s="612" t="s">
        <v>1194</v>
      </c>
      <c r="C293" s="613">
        <f>C289-C291</f>
        <v>377412.37000000011</v>
      </c>
      <c r="D293" s="614">
        <f>D289-D291</f>
        <v>327842.37000000011</v>
      </c>
      <c r="F293" s="614">
        <f>F289-F291</f>
        <v>51355.979999999981</v>
      </c>
      <c r="G293" s="614">
        <f>G289-G291</f>
        <v>0</v>
      </c>
    </row>
  </sheetData>
  <pageMargins left="1.1023622047244095" right="0.31496062992125984" top="0.39370078740157483" bottom="0.59055118110236227" header="0.31496062992125984" footer="0.31496062992125984"/>
  <pageSetup paperSize="8"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93"/>
  <sheetViews>
    <sheetView workbookViewId="0">
      <selection activeCell="N9" sqref="N9"/>
    </sheetView>
  </sheetViews>
  <sheetFormatPr baseColWidth="10" defaultColWidth="11.44140625" defaultRowHeight="14.4" x14ac:dyDescent="0.3"/>
  <cols>
    <col min="1" max="2" width="10.109375" style="39" customWidth="1"/>
    <col min="3" max="3" width="38.44140625" style="39" bestFit="1" customWidth="1"/>
    <col min="4" max="4" width="17.33203125" style="611" customWidth="1"/>
    <col min="5" max="5" width="13.6640625" style="39" customWidth="1"/>
    <col min="6" max="6" width="17.33203125" style="611" customWidth="1"/>
    <col min="7" max="7" width="17.33203125" style="611" hidden="1" customWidth="1"/>
    <col min="8" max="9" width="13.77734375" style="39" hidden="1" customWidth="1"/>
    <col min="10" max="10" width="13.77734375" style="39" customWidth="1"/>
    <col min="11" max="11" width="13.77734375" style="39" hidden="1" customWidth="1"/>
    <col min="12" max="12" width="13.77734375" style="39" customWidth="1"/>
    <col min="13" max="14" width="13.6640625" style="39" customWidth="1"/>
    <col min="15" max="17" width="13.77734375" style="39" customWidth="1"/>
    <col min="18" max="21" width="15.44140625" style="39" customWidth="1"/>
    <col min="22" max="22" width="14" style="39" customWidth="1"/>
    <col min="23" max="24" width="13.6640625" style="39" customWidth="1"/>
    <col min="25" max="25" width="14.33203125" style="395" customWidth="1"/>
    <col min="26" max="26" width="11.44140625" style="419"/>
    <col min="27" max="16384" width="11.44140625" style="39"/>
  </cols>
  <sheetData>
    <row r="1" spans="1:26" x14ac:dyDescent="0.3">
      <c r="A1" s="754"/>
      <c r="B1" s="755"/>
      <c r="C1" s="755"/>
      <c r="D1" s="756" t="s">
        <v>785</v>
      </c>
      <c r="E1" s="757" t="s">
        <v>785</v>
      </c>
      <c r="F1" s="758" t="s">
        <v>785</v>
      </c>
      <c r="G1" s="759" t="s">
        <v>785</v>
      </c>
      <c r="H1" s="760" t="s">
        <v>785</v>
      </c>
      <c r="I1" s="759" t="s">
        <v>785</v>
      </c>
      <c r="J1" s="760" t="s">
        <v>785</v>
      </c>
      <c r="K1" s="759" t="s">
        <v>785</v>
      </c>
      <c r="L1" s="760" t="s">
        <v>785</v>
      </c>
      <c r="M1" s="760" t="s">
        <v>785</v>
      </c>
      <c r="N1" s="760" t="s">
        <v>785</v>
      </c>
      <c r="O1" s="760" t="s">
        <v>785</v>
      </c>
      <c r="P1" s="760" t="s">
        <v>785</v>
      </c>
      <c r="Q1" s="760" t="s">
        <v>785</v>
      </c>
      <c r="R1" s="760" t="s">
        <v>785</v>
      </c>
      <c r="S1" s="760" t="s">
        <v>785</v>
      </c>
      <c r="T1" s="760" t="s">
        <v>785</v>
      </c>
      <c r="U1" s="760" t="s">
        <v>785</v>
      </c>
      <c r="V1" s="760" t="s">
        <v>785</v>
      </c>
      <c r="W1" s="760" t="s">
        <v>785</v>
      </c>
      <c r="X1" s="760" t="s">
        <v>785</v>
      </c>
      <c r="Z1" s="396"/>
    </row>
    <row r="2" spans="1:26" x14ac:dyDescent="0.3">
      <c r="A2" s="397"/>
      <c r="D2" s="399" t="s">
        <v>789</v>
      </c>
      <c r="E2" s="400" t="s">
        <v>789</v>
      </c>
      <c r="F2" s="401" t="s">
        <v>1300</v>
      </c>
      <c r="G2" s="761" t="s">
        <v>1300</v>
      </c>
      <c r="H2" s="401" t="s">
        <v>1301</v>
      </c>
      <c r="I2" s="761" t="s">
        <v>1300</v>
      </c>
      <c r="J2" s="401" t="s">
        <v>1301</v>
      </c>
      <c r="K2" s="761" t="s">
        <v>1300</v>
      </c>
      <c r="L2" s="401" t="s">
        <v>1301</v>
      </c>
      <c r="M2" s="401" t="s">
        <v>1301</v>
      </c>
      <c r="N2" s="401" t="s">
        <v>1301</v>
      </c>
      <c r="O2" s="401" t="s">
        <v>1301</v>
      </c>
      <c r="P2" s="401" t="s">
        <v>1301</v>
      </c>
      <c r="Q2" s="401" t="s">
        <v>1301</v>
      </c>
      <c r="R2" s="401" t="s">
        <v>1301</v>
      </c>
      <c r="S2" s="401" t="s">
        <v>1301</v>
      </c>
      <c r="T2" s="401" t="s">
        <v>1301</v>
      </c>
      <c r="U2" s="401" t="s">
        <v>1301</v>
      </c>
      <c r="V2" s="401" t="s">
        <v>1301</v>
      </c>
      <c r="W2" s="401" t="s">
        <v>1301</v>
      </c>
      <c r="X2" s="401" t="s">
        <v>1301</v>
      </c>
      <c r="Z2" s="396"/>
    </row>
    <row r="3" spans="1:26" x14ac:dyDescent="0.3">
      <c r="A3" s="397" t="s">
        <v>790</v>
      </c>
      <c r="B3" s="39" t="s">
        <v>1302</v>
      </c>
      <c r="D3" s="399" t="s">
        <v>791</v>
      </c>
      <c r="E3" s="402" t="s">
        <v>8</v>
      </c>
      <c r="F3" s="401" t="s">
        <v>791</v>
      </c>
      <c r="G3" s="761" t="s">
        <v>791</v>
      </c>
      <c r="H3" s="403" t="s">
        <v>8</v>
      </c>
      <c r="I3" s="761" t="s">
        <v>791</v>
      </c>
      <c r="J3" s="403" t="s">
        <v>8</v>
      </c>
      <c r="K3" s="761" t="s">
        <v>791</v>
      </c>
      <c r="L3" s="403" t="s">
        <v>8</v>
      </c>
      <c r="M3" s="403" t="s">
        <v>8</v>
      </c>
      <c r="N3" s="403" t="s">
        <v>8</v>
      </c>
      <c r="O3" s="403" t="s">
        <v>8</v>
      </c>
      <c r="P3" s="403" t="s">
        <v>8</v>
      </c>
      <c r="Q3" s="403" t="s">
        <v>8</v>
      </c>
      <c r="R3" s="403" t="s">
        <v>8</v>
      </c>
      <c r="S3" s="403" t="s">
        <v>8</v>
      </c>
      <c r="T3" s="403" t="s">
        <v>8</v>
      </c>
      <c r="U3" s="403" t="s">
        <v>8</v>
      </c>
      <c r="V3" s="403" t="s">
        <v>8</v>
      </c>
      <c r="W3" s="403" t="s">
        <v>8</v>
      </c>
      <c r="X3" s="403" t="s">
        <v>8</v>
      </c>
      <c r="Z3" s="396"/>
    </row>
    <row r="4" spans="1:26" ht="25.2" customHeight="1" x14ac:dyDescent="0.3">
      <c r="A4" s="404" t="s">
        <v>792</v>
      </c>
      <c r="B4" s="762"/>
      <c r="C4" s="762" t="s">
        <v>793</v>
      </c>
      <c r="D4" s="409" t="s">
        <v>796</v>
      </c>
      <c r="E4" s="763">
        <v>44834</v>
      </c>
      <c r="F4" s="764" t="s">
        <v>1303</v>
      </c>
      <c r="G4" s="765" t="s">
        <v>1304</v>
      </c>
      <c r="H4" s="410">
        <v>44865</v>
      </c>
      <c r="I4" s="766" t="s">
        <v>1305</v>
      </c>
      <c r="J4" s="410">
        <v>44895</v>
      </c>
      <c r="K4" s="766" t="s">
        <v>1306</v>
      </c>
      <c r="L4" s="410">
        <v>44910</v>
      </c>
      <c r="M4" s="410">
        <v>44957</v>
      </c>
      <c r="N4" s="410">
        <v>44985</v>
      </c>
      <c r="O4" s="410">
        <v>45008</v>
      </c>
      <c r="P4" s="410">
        <v>45016</v>
      </c>
      <c r="Q4" s="410">
        <v>45046</v>
      </c>
      <c r="R4" s="410">
        <v>45077</v>
      </c>
      <c r="S4" s="410">
        <v>45107</v>
      </c>
      <c r="T4" s="410">
        <v>45138</v>
      </c>
      <c r="U4" s="410">
        <v>45164</v>
      </c>
      <c r="V4" s="410">
        <v>45169</v>
      </c>
      <c r="W4" s="410">
        <v>45191</v>
      </c>
      <c r="X4" s="410" t="s">
        <v>1307</v>
      </c>
      <c r="Z4" s="396"/>
    </row>
    <row r="5" spans="1:26" s="420" customFormat="1" x14ac:dyDescent="0.3">
      <c r="A5" s="411" t="s">
        <v>724</v>
      </c>
      <c r="B5" s="411"/>
      <c r="C5" s="767"/>
      <c r="D5" s="768"/>
      <c r="E5" s="769"/>
      <c r="F5" s="770"/>
      <c r="G5" s="770"/>
      <c r="H5" s="417"/>
      <c r="I5" s="417"/>
      <c r="J5" s="417"/>
      <c r="K5" s="417"/>
      <c r="L5" s="417"/>
      <c r="M5" s="417"/>
      <c r="N5" s="417"/>
      <c r="O5" s="417"/>
      <c r="P5" s="417"/>
      <c r="Q5" s="417"/>
      <c r="R5" s="417"/>
      <c r="S5" s="417"/>
      <c r="T5" s="417"/>
      <c r="U5" s="417"/>
      <c r="V5" s="417"/>
      <c r="W5" s="417"/>
      <c r="X5" s="417"/>
      <c r="Y5" s="418"/>
      <c r="Z5" s="419"/>
    </row>
    <row r="6" spans="1:26" s="420" customFormat="1" x14ac:dyDescent="0.3">
      <c r="A6" s="421" t="s">
        <v>798</v>
      </c>
      <c r="B6" s="771"/>
      <c r="C6" s="767" t="s">
        <v>20</v>
      </c>
      <c r="D6" s="768"/>
      <c r="E6" s="772"/>
      <c r="F6" s="770"/>
      <c r="G6" s="770"/>
      <c r="H6" s="417"/>
      <c r="I6" s="417"/>
      <c r="J6" s="417"/>
      <c r="K6" s="417"/>
      <c r="L6" s="417"/>
      <c r="M6" s="417"/>
      <c r="N6" s="417"/>
      <c r="O6" s="417"/>
      <c r="P6" s="417"/>
      <c r="Q6" s="417"/>
      <c r="R6" s="417"/>
      <c r="S6" s="417"/>
      <c r="T6" s="417"/>
      <c r="U6" s="417"/>
      <c r="V6" s="417"/>
      <c r="W6" s="424"/>
      <c r="X6" s="424"/>
      <c r="Y6" s="418"/>
      <c r="Z6" s="419"/>
    </row>
    <row r="7" spans="1:26" s="420" customFormat="1" x14ac:dyDescent="0.3">
      <c r="A7" s="425" t="s">
        <v>799</v>
      </c>
      <c r="B7" s="425" t="s">
        <v>24</v>
      </c>
      <c r="C7" s="773" t="s">
        <v>800</v>
      </c>
      <c r="D7" s="774">
        <v>0</v>
      </c>
      <c r="E7" s="775">
        <v>0</v>
      </c>
      <c r="F7" s="776">
        <v>0</v>
      </c>
      <c r="G7" s="776">
        <f t="shared" ref="G7:G22" si="0">F7*1/12</f>
        <v>0</v>
      </c>
      <c r="H7" s="430">
        <v>0</v>
      </c>
      <c r="I7" s="777">
        <f>F7*2/12</f>
        <v>0</v>
      </c>
      <c r="J7" s="430">
        <v>0</v>
      </c>
      <c r="K7" s="777">
        <f>F7*3/12</f>
        <v>0</v>
      </c>
      <c r="L7" s="430">
        <v>0</v>
      </c>
      <c r="M7" s="430"/>
      <c r="N7" s="430"/>
      <c r="O7" s="430"/>
      <c r="P7" s="430"/>
      <c r="Q7" s="430"/>
      <c r="R7" s="430"/>
      <c r="S7" s="430"/>
      <c r="T7" s="430"/>
      <c r="U7" s="430"/>
      <c r="V7" s="430"/>
      <c r="W7" s="430"/>
      <c r="X7" s="430"/>
      <c r="Y7" s="418"/>
      <c r="Z7" s="419"/>
    </row>
    <row r="8" spans="1:26" s="420" customFormat="1" x14ac:dyDescent="0.3">
      <c r="A8" s="425" t="s">
        <v>30</v>
      </c>
      <c r="B8" s="425" t="s">
        <v>24</v>
      </c>
      <c r="C8" s="773" t="s">
        <v>801</v>
      </c>
      <c r="D8" s="774">
        <v>0</v>
      </c>
      <c r="E8" s="775">
        <v>0</v>
      </c>
      <c r="F8" s="776">
        <v>0</v>
      </c>
      <c r="G8" s="776">
        <f t="shared" si="0"/>
        <v>0</v>
      </c>
      <c r="H8" s="430">
        <v>0</v>
      </c>
      <c r="I8" s="777">
        <f t="shared" ref="I8:I22" si="1">F8*2/12</f>
        <v>0</v>
      </c>
      <c r="J8" s="430">
        <v>0</v>
      </c>
      <c r="K8" s="777">
        <f>F8*3/12</f>
        <v>0</v>
      </c>
      <c r="L8" s="430">
        <v>0</v>
      </c>
      <c r="M8" s="430"/>
      <c r="N8" s="430"/>
      <c r="O8" s="430"/>
      <c r="P8" s="430"/>
      <c r="Q8" s="430"/>
      <c r="R8" s="430"/>
      <c r="S8" s="430"/>
      <c r="T8" s="430"/>
      <c r="U8" s="430"/>
      <c r="V8" s="430"/>
      <c r="W8" s="430"/>
      <c r="X8" s="430"/>
      <c r="Y8" s="418"/>
      <c r="Z8" s="419"/>
    </row>
    <row r="9" spans="1:26" x14ac:dyDescent="0.3">
      <c r="A9" s="431" t="s">
        <v>802</v>
      </c>
      <c r="B9" s="431" t="s">
        <v>802</v>
      </c>
      <c r="C9" s="778" t="s">
        <v>803</v>
      </c>
      <c r="D9" s="779">
        <v>5000</v>
      </c>
      <c r="E9" s="780">
        <v>6205</v>
      </c>
      <c r="F9" s="781">
        <v>5000</v>
      </c>
      <c r="G9" s="776">
        <f t="shared" si="0"/>
        <v>416.66666666666669</v>
      </c>
      <c r="H9" s="436">
        <v>1975</v>
      </c>
      <c r="I9" s="777">
        <f t="shared" si="1"/>
        <v>833.33333333333337</v>
      </c>
      <c r="J9" s="436">
        <v>1975</v>
      </c>
      <c r="K9" s="777">
        <f>F9*3/12</f>
        <v>1250</v>
      </c>
      <c r="L9" s="436">
        <v>1975</v>
      </c>
      <c r="M9" s="436"/>
      <c r="N9" s="436"/>
      <c r="O9" s="436"/>
      <c r="P9" s="436"/>
      <c r="Q9" s="436"/>
      <c r="R9" s="436"/>
      <c r="S9" s="436"/>
      <c r="T9" s="436"/>
      <c r="U9" s="436"/>
      <c r="V9" s="450"/>
      <c r="W9" s="438"/>
      <c r="X9" s="438"/>
    </row>
    <row r="10" spans="1:26" x14ac:dyDescent="0.3">
      <c r="A10" s="431" t="s">
        <v>804</v>
      </c>
      <c r="B10" s="431" t="s">
        <v>802</v>
      </c>
      <c r="C10" s="778" t="s">
        <v>805</v>
      </c>
      <c r="D10" s="779">
        <v>1000</v>
      </c>
      <c r="E10" s="782">
        <v>0</v>
      </c>
      <c r="F10" s="781">
        <v>1000</v>
      </c>
      <c r="G10" s="776">
        <f t="shared" si="0"/>
        <v>83.333333333333329</v>
      </c>
      <c r="H10" s="436">
        <v>0</v>
      </c>
      <c r="I10" s="777">
        <f t="shared" si="1"/>
        <v>166.66666666666666</v>
      </c>
      <c r="J10" s="436">
        <v>0</v>
      </c>
      <c r="K10" s="777">
        <f>F10*3/12</f>
        <v>250</v>
      </c>
      <c r="L10" s="436">
        <v>0</v>
      </c>
      <c r="M10" s="436"/>
      <c r="N10" s="436"/>
      <c r="O10" s="436"/>
      <c r="P10" s="436"/>
      <c r="Q10" s="436"/>
      <c r="R10" s="436"/>
      <c r="S10" s="436"/>
      <c r="T10" s="436"/>
      <c r="U10" s="436"/>
      <c r="V10" s="438"/>
      <c r="W10" s="438"/>
      <c r="X10" s="438"/>
    </row>
    <row r="11" spans="1:26" x14ac:dyDescent="0.3">
      <c r="A11" s="440" t="s">
        <v>806</v>
      </c>
      <c r="B11" s="440"/>
      <c r="C11" s="783" t="s">
        <v>807</v>
      </c>
      <c r="D11" s="784"/>
      <c r="E11" s="785"/>
      <c r="F11" s="786"/>
      <c r="G11" s="445"/>
      <c r="H11" s="445"/>
      <c r="I11" s="445"/>
      <c r="J11" s="445"/>
      <c r="K11" s="474"/>
      <c r="L11" s="445"/>
      <c r="M11" s="445"/>
      <c r="N11" s="445"/>
      <c r="O11" s="445"/>
      <c r="P11" s="445"/>
      <c r="Q11" s="445"/>
      <c r="R11" s="445"/>
      <c r="S11" s="445"/>
      <c r="T11" s="445"/>
      <c r="U11" s="445"/>
      <c r="V11" s="446"/>
      <c r="W11" s="446"/>
      <c r="X11" s="446"/>
    </row>
    <row r="12" spans="1:26" x14ac:dyDescent="0.3">
      <c r="A12" s="431" t="s">
        <v>34</v>
      </c>
      <c r="B12" s="431" t="s">
        <v>34</v>
      </c>
      <c r="C12" s="778" t="s">
        <v>808</v>
      </c>
      <c r="D12" s="779">
        <v>23000</v>
      </c>
      <c r="E12" s="780">
        <v>37605</v>
      </c>
      <c r="F12" s="781">
        <v>23000</v>
      </c>
      <c r="G12" s="776">
        <f t="shared" si="0"/>
        <v>1916.6666666666667</v>
      </c>
      <c r="H12" s="448">
        <v>90</v>
      </c>
      <c r="I12" s="777">
        <f t="shared" si="1"/>
        <v>3833.3333333333335</v>
      </c>
      <c r="J12" s="448">
        <v>135</v>
      </c>
      <c r="K12" s="787">
        <f>F12*3/12</f>
        <v>5750</v>
      </c>
      <c r="L12" s="448">
        <v>135</v>
      </c>
      <c r="M12" s="448"/>
      <c r="N12" s="448"/>
      <c r="O12" s="448"/>
      <c r="P12" s="448"/>
      <c r="Q12" s="448"/>
      <c r="R12" s="448"/>
      <c r="S12" s="448"/>
      <c r="T12" s="449"/>
      <c r="U12" s="449"/>
      <c r="V12" s="437"/>
      <c r="W12" s="437"/>
      <c r="X12" s="450"/>
    </row>
    <row r="13" spans="1:26" x14ac:dyDescent="0.3">
      <c r="A13" s="431" t="s">
        <v>37</v>
      </c>
      <c r="B13" s="431" t="s">
        <v>37</v>
      </c>
      <c r="C13" s="778" t="s">
        <v>809</v>
      </c>
      <c r="D13" s="779">
        <v>1500</v>
      </c>
      <c r="E13" s="788">
        <v>318</v>
      </c>
      <c r="F13" s="781">
        <v>1500</v>
      </c>
      <c r="G13" s="776">
        <f t="shared" si="0"/>
        <v>125</v>
      </c>
      <c r="H13" s="448">
        <v>0</v>
      </c>
      <c r="I13" s="777">
        <f t="shared" si="1"/>
        <v>250</v>
      </c>
      <c r="J13" s="448">
        <v>475</v>
      </c>
      <c r="K13" s="787">
        <f t="shared" ref="K13:K22" si="2">F13*3/12</f>
        <v>375</v>
      </c>
      <c r="L13" s="448">
        <v>490</v>
      </c>
      <c r="M13" s="448"/>
      <c r="N13" s="448"/>
      <c r="O13" s="448"/>
      <c r="P13" s="448"/>
      <c r="Q13" s="448"/>
      <c r="R13" s="448"/>
      <c r="S13" s="448"/>
      <c r="T13" s="448"/>
      <c r="U13" s="448"/>
      <c r="V13" s="450"/>
      <c r="W13" s="450"/>
      <c r="X13" s="450"/>
    </row>
    <row r="14" spans="1:26" x14ac:dyDescent="0.3">
      <c r="A14" s="431" t="s">
        <v>40</v>
      </c>
      <c r="B14" s="431" t="s">
        <v>40</v>
      </c>
      <c r="C14" s="778" t="s">
        <v>810</v>
      </c>
      <c r="D14" s="779">
        <v>4500</v>
      </c>
      <c r="E14" s="788">
        <v>2550</v>
      </c>
      <c r="F14" s="781">
        <v>4500</v>
      </c>
      <c r="G14" s="776">
        <f t="shared" si="0"/>
        <v>375</v>
      </c>
      <c r="H14" s="448">
        <v>90</v>
      </c>
      <c r="I14" s="777">
        <f t="shared" si="1"/>
        <v>750</v>
      </c>
      <c r="J14" s="448">
        <v>60</v>
      </c>
      <c r="K14" s="787">
        <f t="shared" si="2"/>
        <v>1125</v>
      </c>
      <c r="L14" s="448">
        <v>1000</v>
      </c>
      <c r="M14" s="448"/>
      <c r="N14" s="448"/>
      <c r="O14" s="448"/>
      <c r="P14" s="448"/>
      <c r="Q14" s="448"/>
      <c r="R14" s="448"/>
      <c r="S14" s="448"/>
      <c r="T14" s="448"/>
      <c r="U14" s="448"/>
      <c r="V14" s="450"/>
      <c r="W14" s="450"/>
      <c r="X14" s="450"/>
    </row>
    <row r="15" spans="1:26" x14ac:dyDescent="0.3">
      <c r="A15" s="431" t="s">
        <v>77</v>
      </c>
      <c r="B15" s="431" t="s">
        <v>77</v>
      </c>
      <c r="C15" s="778" t="s">
        <v>811</v>
      </c>
      <c r="D15" s="779">
        <v>32000</v>
      </c>
      <c r="E15" s="788">
        <v>24965</v>
      </c>
      <c r="F15" s="781">
        <v>32000</v>
      </c>
      <c r="G15" s="776">
        <f t="shared" si="0"/>
        <v>2666.6666666666665</v>
      </c>
      <c r="H15" s="448">
        <v>-340</v>
      </c>
      <c r="I15" s="777">
        <f t="shared" si="1"/>
        <v>5333.333333333333</v>
      </c>
      <c r="J15" s="448">
        <v>-340</v>
      </c>
      <c r="K15" s="787">
        <f t="shared" si="2"/>
        <v>8000</v>
      </c>
      <c r="L15" s="448">
        <v>-340</v>
      </c>
      <c r="M15" s="448"/>
      <c r="N15" s="448"/>
      <c r="O15" s="448"/>
      <c r="P15" s="448"/>
      <c r="Q15" s="448"/>
      <c r="R15" s="448"/>
      <c r="S15" s="448"/>
      <c r="T15" s="448"/>
      <c r="U15" s="448"/>
      <c r="V15" s="450"/>
      <c r="W15" s="450"/>
      <c r="X15" s="450"/>
    </row>
    <row r="16" spans="1:26" x14ac:dyDescent="0.3">
      <c r="A16" s="425" t="s">
        <v>812</v>
      </c>
      <c r="B16" s="431" t="s">
        <v>812</v>
      </c>
      <c r="C16" s="773" t="s">
        <v>813</v>
      </c>
      <c r="D16" s="779">
        <v>0</v>
      </c>
      <c r="E16" s="788">
        <v>0</v>
      </c>
      <c r="F16" s="781">
        <v>0</v>
      </c>
      <c r="G16" s="776">
        <f t="shared" si="0"/>
        <v>0</v>
      </c>
      <c r="H16" s="448">
        <v>0</v>
      </c>
      <c r="I16" s="777">
        <f t="shared" si="1"/>
        <v>0</v>
      </c>
      <c r="J16" s="448">
        <v>0</v>
      </c>
      <c r="K16" s="787">
        <f t="shared" si="2"/>
        <v>0</v>
      </c>
      <c r="L16" s="448">
        <v>0</v>
      </c>
      <c r="M16" s="448"/>
      <c r="N16" s="448"/>
      <c r="O16" s="448"/>
      <c r="P16" s="448"/>
      <c r="Q16" s="448"/>
      <c r="R16" s="448"/>
      <c r="S16" s="448"/>
      <c r="T16" s="448"/>
      <c r="U16" s="448"/>
      <c r="V16" s="450"/>
      <c r="W16" s="450"/>
      <c r="X16" s="450"/>
    </row>
    <row r="17" spans="1:24" x14ac:dyDescent="0.3">
      <c r="A17" s="431" t="s">
        <v>74</v>
      </c>
      <c r="B17" s="431" t="s">
        <v>74</v>
      </c>
      <c r="C17" s="778" t="s">
        <v>814</v>
      </c>
      <c r="D17" s="779">
        <v>24000</v>
      </c>
      <c r="E17" s="788">
        <v>23964</v>
      </c>
      <c r="F17" s="781">
        <v>24000</v>
      </c>
      <c r="G17" s="776">
        <f t="shared" si="0"/>
        <v>2000</v>
      </c>
      <c r="H17" s="448">
        <v>0</v>
      </c>
      <c r="I17" s="777">
        <f t="shared" si="1"/>
        <v>4000</v>
      </c>
      <c r="J17" s="448">
        <v>0</v>
      </c>
      <c r="K17" s="787">
        <f t="shared" si="2"/>
        <v>6000</v>
      </c>
      <c r="L17" s="448">
        <v>0</v>
      </c>
      <c r="M17" s="448"/>
      <c r="N17" s="448"/>
      <c r="O17" s="448"/>
      <c r="P17" s="448"/>
      <c r="Q17" s="448"/>
      <c r="R17" s="448"/>
      <c r="S17" s="448"/>
      <c r="T17" s="448"/>
      <c r="U17" s="448"/>
      <c r="V17" s="450"/>
      <c r="W17" s="450"/>
      <c r="X17" s="450"/>
    </row>
    <row r="18" spans="1:24" x14ac:dyDescent="0.3">
      <c r="A18" s="431" t="s">
        <v>815</v>
      </c>
      <c r="B18" s="431" t="s">
        <v>32</v>
      </c>
      <c r="C18" s="778" t="s">
        <v>816</v>
      </c>
      <c r="D18" s="779">
        <v>2500</v>
      </c>
      <c r="E18" s="788">
        <v>0</v>
      </c>
      <c r="F18" s="781">
        <v>2500</v>
      </c>
      <c r="G18" s="776">
        <f t="shared" si="0"/>
        <v>208.33333333333334</v>
      </c>
      <c r="H18" s="448">
        <v>0</v>
      </c>
      <c r="I18" s="777">
        <f t="shared" si="1"/>
        <v>416.66666666666669</v>
      </c>
      <c r="J18" s="448">
        <v>0</v>
      </c>
      <c r="K18" s="787">
        <f t="shared" si="2"/>
        <v>625</v>
      </c>
      <c r="L18" s="448">
        <v>0</v>
      </c>
      <c r="M18" s="448"/>
      <c r="N18" s="448"/>
      <c r="O18" s="448"/>
      <c r="P18" s="448"/>
      <c r="Q18" s="448"/>
      <c r="R18" s="448"/>
      <c r="S18" s="448"/>
      <c r="T18" s="448"/>
      <c r="U18" s="448"/>
      <c r="V18" s="450"/>
      <c r="W18" s="789"/>
      <c r="X18" s="789"/>
    </row>
    <row r="19" spans="1:24" x14ac:dyDescent="0.3">
      <c r="A19" s="431" t="s">
        <v>817</v>
      </c>
      <c r="B19" s="431" t="s">
        <v>812</v>
      </c>
      <c r="C19" s="778" t="s">
        <v>818</v>
      </c>
      <c r="D19" s="779">
        <v>14500</v>
      </c>
      <c r="E19" s="788">
        <v>0</v>
      </c>
      <c r="F19" s="781">
        <v>14500</v>
      </c>
      <c r="G19" s="776">
        <f t="shared" si="0"/>
        <v>1208.3333333333333</v>
      </c>
      <c r="H19" s="448">
        <v>0</v>
      </c>
      <c r="I19" s="777">
        <f t="shared" si="1"/>
        <v>2416.6666666666665</v>
      </c>
      <c r="J19" s="448">
        <v>0</v>
      </c>
      <c r="K19" s="787">
        <f t="shared" si="2"/>
        <v>3625</v>
      </c>
      <c r="L19" s="448">
        <v>0</v>
      </c>
      <c r="M19" s="448"/>
      <c r="N19" s="448"/>
      <c r="O19" s="448"/>
      <c r="P19" s="448"/>
      <c r="Q19" s="448"/>
      <c r="R19" s="448"/>
      <c r="S19" s="448"/>
      <c r="T19" s="448"/>
      <c r="U19" s="448"/>
      <c r="V19" s="450"/>
      <c r="W19" s="450"/>
      <c r="X19" s="450"/>
    </row>
    <row r="20" spans="1:24" x14ac:dyDescent="0.3">
      <c r="A20" s="431" t="s">
        <v>819</v>
      </c>
      <c r="B20" s="431" t="s">
        <v>812</v>
      </c>
      <c r="C20" s="778" t="s">
        <v>820</v>
      </c>
      <c r="D20" s="779">
        <v>10000</v>
      </c>
      <c r="E20" s="788">
        <v>0</v>
      </c>
      <c r="F20" s="781">
        <v>10000</v>
      </c>
      <c r="G20" s="776">
        <f t="shared" si="0"/>
        <v>833.33333333333337</v>
      </c>
      <c r="H20" s="448">
        <v>0</v>
      </c>
      <c r="I20" s="777">
        <f t="shared" si="1"/>
        <v>1666.6666666666667</v>
      </c>
      <c r="J20" s="448">
        <v>0</v>
      </c>
      <c r="K20" s="787">
        <f t="shared" si="2"/>
        <v>2500</v>
      </c>
      <c r="L20" s="448">
        <v>0</v>
      </c>
      <c r="M20" s="448"/>
      <c r="N20" s="448"/>
      <c r="O20" s="448"/>
      <c r="P20" s="448"/>
      <c r="Q20" s="448"/>
      <c r="R20" s="448"/>
      <c r="S20" s="448"/>
      <c r="T20" s="448"/>
      <c r="U20" s="448"/>
      <c r="V20" s="450"/>
      <c r="W20" s="450"/>
      <c r="X20" s="450"/>
    </row>
    <row r="21" spans="1:24" x14ac:dyDescent="0.3">
      <c r="A21" s="452" t="s">
        <v>27</v>
      </c>
      <c r="B21" s="431" t="s">
        <v>27</v>
      </c>
      <c r="C21" s="790" t="s">
        <v>821</v>
      </c>
      <c r="D21" s="779">
        <v>0</v>
      </c>
      <c r="E21" s="788">
        <v>0</v>
      </c>
      <c r="F21" s="781">
        <v>0</v>
      </c>
      <c r="G21" s="776">
        <f t="shared" si="0"/>
        <v>0</v>
      </c>
      <c r="H21" s="448">
        <v>0</v>
      </c>
      <c r="I21" s="777">
        <f t="shared" si="1"/>
        <v>0</v>
      </c>
      <c r="J21" s="448">
        <v>0</v>
      </c>
      <c r="K21" s="787">
        <f t="shared" si="2"/>
        <v>0</v>
      </c>
      <c r="L21" s="448">
        <v>0</v>
      </c>
      <c r="M21" s="448"/>
      <c r="N21" s="448"/>
      <c r="O21" s="448"/>
      <c r="P21" s="448"/>
      <c r="Q21" s="448"/>
      <c r="R21" s="448"/>
      <c r="S21" s="448"/>
      <c r="T21" s="448"/>
      <c r="U21" s="448"/>
      <c r="V21" s="450"/>
      <c r="W21" s="450"/>
      <c r="X21" s="450"/>
    </row>
    <row r="22" spans="1:24" x14ac:dyDescent="0.3">
      <c r="A22" s="454" t="s">
        <v>59</v>
      </c>
      <c r="B22" s="431" t="s">
        <v>59</v>
      </c>
      <c r="C22" s="791" t="s">
        <v>822</v>
      </c>
      <c r="D22" s="779">
        <v>7000</v>
      </c>
      <c r="E22" s="788">
        <v>6229.55</v>
      </c>
      <c r="F22" s="781">
        <v>7000</v>
      </c>
      <c r="G22" s="776">
        <f t="shared" si="0"/>
        <v>583.33333333333337</v>
      </c>
      <c r="H22" s="448">
        <v>130</v>
      </c>
      <c r="I22" s="777">
        <f t="shared" si="1"/>
        <v>1166.6666666666667</v>
      </c>
      <c r="J22" s="448">
        <v>650</v>
      </c>
      <c r="K22" s="787">
        <f t="shared" si="2"/>
        <v>1750</v>
      </c>
      <c r="L22" s="448">
        <v>960</v>
      </c>
      <c r="M22" s="448"/>
      <c r="N22" s="448"/>
      <c r="O22" s="448"/>
      <c r="P22" s="448"/>
      <c r="Q22" s="448"/>
      <c r="R22" s="448"/>
      <c r="S22" s="448"/>
      <c r="T22" s="448"/>
      <c r="U22" s="448"/>
      <c r="V22" s="450"/>
      <c r="W22" s="450"/>
      <c r="X22" s="450"/>
    </row>
    <row r="23" spans="1:24" x14ac:dyDescent="0.3">
      <c r="A23" s="792"/>
      <c r="B23" s="793"/>
      <c r="C23" s="794" t="s">
        <v>823</v>
      </c>
      <c r="D23" s="795">
        <f>SUM(D7:D22)</f>
        <v>125000</v>
      </c>
      <c r="E23" s="719">
        <f t="shared" ref="E23:X23" si="3">SUM(E7:E22)</f>
        <v>101836.55</v>
      </c>
      <c r="F23" s="796">
        <f t="shared" si="3"/>
        <v>125000</v>
      </c>
      <c r="G23" s="796">
        <f>SUM(G7:G22)</f>
        <v>10416.666666666668</v>
      </c>
      <c r="H23" s="797">
        <f t="shared" si="3"/>
        <v>1945</v>
      </c>
      <c r="I23" s="797">
        <f t="shared" si="3"/>
        <v>20833.333333333336</v>
      </c>
      <c r="J23" s="797">
        <f t="shared" si="3"/>
        <v>2955</v>
      </c>
      <c r="K23" s="797">
        <f t="shared" si="3"/>
        <v>31250</v>
      </c>
      <c r="L23" s="797">
        <f t="shared" si="3"/>
        <v>4220</v>
      </c>
      <c r="M23" s="797">
        <f t="shared" si="3"/>
        <v>0</v>
      </c>
      <c r="N23" s="797">
        <f t="shared" si="3"/>
        <v>0</v>
      </c>
      <c r="O23" s="797">
        <f t="shared" si="3"/>
        <v>0</v>
      </c>
      <c r="P23" s="797">
        <f t="shared" si="3"/>
        <v>0</v>
      </c>
      <c r="Q23" s="797">
        <f t="shared" si="3"/>
        <v>0</v>
      </c>
      <c r="R23" s="797">
        <f t="shared" si="3"/>
        <v>0</v>
      </c>
      <c r="S23" s="797">
        <f t="shared" si="3"/>
        <v>0</v>
      </c>
      <c r="T23" s="797">
        <f t="shared" si="3"/>
        <v>0</v>
      </c>
      <c r="U23" s="797">
        <f t="shared" si="3"/>
        <v>0</v>
      </c>
      <c r="V23" s="797">
        <f t="shared" si="3"/>
        <v>0</v>
      </c>
      <c r="W23" s="797">
        <f t="shared" si="3"/>
        <v>0</v>
      </c>
      <c r="X23" s="797">
        <f t="shared" si="3"/>
        <v>0</v>
      </c>
    </row>
    <row r="24" spans="1:24" x14ac:dyDescent="0.3">
      <c r="A24" s="431" t="s">
        <v>824</v>
      </c>
      <c r="B24" s="431" t="s">
        <v>824</v>
      </c>
      <c r="C24" s="778" t="s">
        <v>14</v>
      </c>
      <c r="D24" s="798">
        <v>560000</v>
      </c>
      <c r="E24" s="799">
        <v>578722.64</v>
      </c>
      <c r="F24" s="800">
        <v>560000</v>
      </c>
      <c r="G24" s="776">
        <f>F24*1/12</f>
        <v>46666.666666666664</v>
      </c>
      <c r="H24" s="448">
        <v>255005.45</v>
      </c>
      <c r="I24" s="787">
        <f>F24*2/12</f>
        <v>93333.333333333328</v>
      </c>
      <c r="J24" s="448">
        <v>455812.12</v>
      </c>
      <c r="K24" s="787">
        <f>F24*3/12</f>
        <v>140000</v>
      </c>
      <c r="L24" s="448">
        <v>487889.83</v>
      </c>
      <c r="M24" s="465"/>
      <c r="N24" s="465"/>
      <c r="O24" s="466"/>
      <c r="P24" s="466"/>
      <c r="Q24" s="465"/>
      <c r="R24" s="466"/>
      <c r="S24" s="466"/>
      <c r="T24" s="465"/>
      <c r="U24" s="465"/>
      <c r="V24" s="465"/>
      <c r="W24" s="801"/>
      <c r="X24" s="802"/>
    </row>
    <row r="25" spans="1:24" x14ac:dyDescent="0.3">
      <c r="A25" s="431" t="s">
        <v>97</v>
      </c>
      <c r="B25" s="431" t="s">
        <v>97</v>
      </c>
      <c r="C25" s="778" t="s">
        <v>825</v>
      </c>
      <c r="D25" s="803">
        <v>0</v>
      </c>
      <c r="E25" s="804">
        <v>0</v>
      </c>
      <c r="F25" s="805">
        <v>0</v>
      </c>
      <c r="G25" s="776">
        <f>F25*1/12</f>
        <v>0</v>
      </c>
      <c r="H25" s="448">
        <v>0</v>
      </c>
      <c r="I25" s="787">
        <v>0</v>
      </c>
      <c r="J25" s="448">
        <v>0</v>
      </c>
      <c r="K25" s="787">
        <f>F25*3/12</f>
        <v>0</v>
      </c>
      <c r="L25" s="448">
        <v>0</v>
      </c>
      <c r="M25" s="448"/>
      <c r="N25" s="448"/>
      <c r="O25" s="448"/>
      <c r="P25" s="448"/>
      <c r="Q25" s="448"/>
      <c r="R25" s="448"/>
      <c r="S25" s="448"/>
      <c r="T25" s="448"/>
      <c r="U25" s="448"/>
      <c r="V25" s="448"/>
      <c r="W25" s="448"/>
      <c r="X25" s="448"/>
    </row>
    <row r="26" spans="1:24" x14ac:dyDescent="0.3">
      <c r="A26" s="431" t="s">
        <v>102</v>
      </c>
      <c r="B26" s="431" t="s">
        <v>102</v>
      </c>
      <c r="C26" s="778" t="s">
        <v>826</v>
      </c>
      <c r="D26" s="803">
        <v>195000</v>
      </c>
      <c r="E26" s="804">
        <v>195000</v>
      </c>
      <c r="F26" s="805">
        <v>195000</v>
      </c>
      <c r="G26" s="776">
        <v>0</v>
      </c>
      <c r="H26" s="448">
        <v>0</v>
      </c>
      <c r="I26" s="787">
        <v>0</v>
      </c>
      <c r="J26" s="448">
        <v>0</v>
      </c>
      <c r="K26" s="787">
        <f>F26*3/12</f>
        <v>48750</v>
      </c>
      <c r="L26" s="448">
        <v>0</v>
      </c>
      <c r="M26" s="448"/>
      <c r="N26" s="448"/>
      <c r="O26" s="448"/>
      <c r="P26" s="448"/>
      <c r="Q26" s="448"/>
      <c r="R26" s="448"/>
      <c r="S26" s="448"/>
      <c r="T26" s="448"/>
      <c r="U26" s="448"/>
      <c r="V26" s="465"/>
      <c r="W26" s="448"/>
      <c r="X26" s="448"/>
    </row>
    <row r="27" spans="1:24" x14ac:dyDescent="0.3">
      <c r="A27" s="431" t="s">
        <v>106</v>
      </c>
      <c r="B27" s="431" t="s">
        <v>106</v>
      </c>
      <c r="C27" s="778" t="s">
        <v>827</v>
      </c>
      <c r="D27" s="806">
        <v>600000</v>
      </c>
      <c r="E27" s="807">
        <v>625360.34</v>
      </c>
      <c r="F27" s="808">
        <v>600000</v>
      </c>
      <c r="G27" s="800">
        <f>F27*1/12</f>
        <v>50000</v>
      </c>
      <c r="H27" s="448">
        <v>285497.78000000003</v>
      </c>
      <c r="I27" s="787">
        <f>F27*2/12</f>
        <v>100000</v>
      </c>
      <c r="J27" s="465">
        <v>285497.78000000003</v>
      </c>
      <c r="K27" s="787">
        <f>F27*3/12</f>
        <v>150000</v>
      </c>
      <c r="L27" s="465">
        <v>285497.78000000003</v>
      </c>
      <c r="M27" s="465"/>
      <c r="N27" s="465"/>
      <c r="O27" s="465"/>
      <c r="P27" s="465"/>
      <c r="Q27" s="465"/>
      <c r="R27" s="465"/>
      <c r="S27" s="465"/>
      <c r="T27" s="465"/>
      <c r="U27" s="465"/>
      <c r="V27" s="465"/>
      <c r="W27" s="465"/>
      <c r="X27" s="465"/>
    </row>
    <row r="28" spans="1:24" x14ac:dyDescent="0.3">
      <c r="A28" s="792"/>
      <c r="B28" s="793"/>
      <c r="C28" s="794" t="s">
        <v>828</v>
      </c>
      <c r="D28" s="795">
        <f t="shared" ref="D28:X28" si="4">SUM(D24:D27)</f>
        <v>1355000</v>
      </c>
      <c r="E28" s="809">
        <f t="shared" si="4"/>
        <v>1399082.98</v>
      </c>
      <c r="F28" s="796">
        <f t="shared" si="4"/>
        <v>1355000</v>
      </c>
      <c r="G28" s="796">
        <f t="shared" si="4"/>
        <v>96666.666666666657</v>
      </c>
      <c r="H28" s="474">
        <f t="shared" si="4"/>
        <v>540503.23</v>
      </c>
      <c r="I28" s="474">
        <f t="shared" si="4"/>
        <v>193333.33333333331</v>
      </c>
      <c r="J28" s="473">
        <f t="shared" si="4"/>
        <v>741309.9</v>
      </c>
      <c r="K28" s="473">
        <f t="shared" si="4"/>
        <v>338750</v>
      </c>
      <c r="L28" s="473">
        <f t="shared" si="4"/>
        <v>773387.6100000001</v>
      </c>
      <c r="M28" s="473">
        <f t="shared" si="4"/>
        <v>0</v>
      </c>
      <c r="N28" s="474">
        <f t="shared" si="4"/>
        <v>0</v>
      </c>
      <c r="O28" s="474">
        <f t="shared" si="4"/>
        <v>0</v>
      </c>
      <c r="P28" s="474">
        <f t="shared" si="4"/>
        <v>0</v>
      </c>
      <c r="Q28" s="473">
        <f t="shared" si="4"/>
        <v>0</v>
      </c>
      <c r="R28" s="475">
        <f t="shared" si="4"/>
        <v>0</v>
      </c>
      <c r="S28" s="475">
        <f t="shared" si="4"/>
        <v>0</v>
      </c>
      <c r="T28" s="475">
        <f t="shared" si="4"/>
        <v>0</v>
      </c>
      <c r="U28" s="475">
        <f t="shared" si="4"/>
        <v>0</v>
      </c>
      <c r="V28" s="475">
        <f t="shared" si="4"/>
        <v>0</v>
      </c>
      <c r="W28" s="475">
        <f t="shared" si="4"/>
        <v>0</v>
      </c>
      <c r="X28" s="474">
        <f t="shared" si="4"/>
        <v>0</v>
      </c>
    </row>
    <row r="29" spans="1:24" x14ac:dyDescent="0.3">
      <c r="A29" s="778"/>
      <c r="B29" s="810"/>
      <c r="C29" s="810"/>
      <c r="D29" s="803"/>
      <c r="E29" s="724"/>
      <c r="F29" s="805"/>
      <c r="G29" s="805"/>
      <c r="H29" s="811"/>
      <c r="I29" s="812"/>
      <c r="J29" s="811"/>
      <c r="K29" s="811"/>
      <c r="L29" s="811"/>
      <c r="M29" s="811"/>
      <c r="N29" s="811"/>
      <c r="O29" s="812"/>
      <c r="P29" s="812"/>
      <c r="Q29" s="812"/>
      <c r="R29" s="811"/>
      <c r="S29" s="811"/>
      <c r="T29" s="811"/>
      <c r="U29" s="811"/>
      <c r="V29" s="811"/>
      <c r="W29" s="811"/>
      <c r="X29" s="811"/>
    </row>
    <row r="30" spans="1:24" x14ac:dyDescent="0.3">
      <c r="A30" s="792"/>
      <c r="B30" s="793"/>
      <c r="C30" s="794" t="s">
        <v>829</v>
      </c>
      <c r="D30" s="481">
        <f t="shared" ref="D30:X30" si="5">D23+D28</f>
        <v>1480000</v>
      </c>
      <c r="E30" s="725">
        <f t="shared" si="5"/>
        <v>1500919.53</v>
      </c>
      <c r="F30" s="813">
        <f t="shared" si="5"/>
        <v>1480000</v>
      </c>
      <c r="G30" s="813">
        <f t="shared" si="5"/>
        <v>107083.33333333333</v>
      </c>
      <c r="H30" s="484">
        <f t="shared" si="5"/>
        <v>542448.23</v>
      </c>
      <c r="I30" s="484">
        <f t="shared" si="5"/>
        <v>214166.66666666666</v>
      </c>
      <c r="J30" s="483">
        <f t="shared" si="5"/>
        <v>744264.9</v>
      </c>
      <c r="K30" s="814">
        <f t="shared" si="5"/>
        <v>370000</v>
      </c>
      <c r="L30" s="483">
        <f t="shared" si="5"/>
        <v>777607.6100000001</v>
      </c>
      <c r="M30" s="483">
        <f t="shared" si="5"/>
        <v>0</v>
      </c>
      <c r="N30" s="484">
        <f t="shared" si="5"/>
        <v>0</v>
      </c>
      <c r="O30" s="483">
        <f t="shared" si="5"/>
        <v>0</v>
      </c>
      <c r="P30" s="483">
        <f t="shared" si="5"/>
        <v>0</v>
      </c>
      <c r="Q30" s="483">
        <f t="shared" si="5"/>
        <v>0</v>
      </c>
      <c r="R30" s="485">
        <f t="shared" si="5"/>
        <v>0</v>
      </c>
      <c r="S30" s="485">
        <f t="shared" si="5"/>
        <v>0</v>
      </c>
      <c r="T30" s="485">
        <f t="shared" si="5"/>
        <v>0</v>
      </c>
      <c r="U30" s="485">
        <f t="shared" si="5"/>
        <v>0</v>
      </c>
      <c r="V30" s="485">
        <f t="shared" si="5"/>
        <v>0</v>
      </c>
      <c r="W30" s="485">
        <f t="shared" si="5"/>
        <v>0</v>
      </c>
      <c r="X30" s="484">
        <f t="shared" si="5"/>
        <v>0</v>
      </c>
    </row>
    <row r="31" spans="1:24" x14ac:dyDescent="0.3">
      <c r="A31" s="815" t="s">
        <v>119</v>
      </c>
      <c r="B31" s="816"/>
      <c r="C31" s="817"/>
      <c r="D31" s="818"/>
      <c r="E31" s="726"/>
      <c r="F31" s="819"/>
      <c r="G31" s="819"/>
      <c r="H31" s="820"/>
      <c r="I31" s="821"/>
      <c r="J31" s="820"/>
      <c r="K31" s="820"/>
      <c r="L31" s="820"/>
      <c r="M31" s="820"/>
      <c r="N31" s="820"/>
      <c r="O31" s="820"/>
      <c r="P31" s="820"/>
      <c r="Q31" s="820"/>
      <c r="R31" s="820"/>
      <c r="S31" s="820"/>
      <c r="T31" s="820"/>
      <c r="U31" s="820"/>
      <c r="V31" s="820"/>
      <c r="W31" s="820"/>
      <c r="X31" s="820"/>
    </row>
    <row r="32" spans="1:24" x14ac:dyDescent="0.3">
      <c r="A32" s="493" t="s">
        <v>124</v>
      </c>
      <c r="B32" s="493" t="s">
        <v>124</v>
      </c>
      <c r="C32" s="822" t="s">
        <v>830</v>
      </c>
      <c r="D32" s="823">
        <v>25000</v>
      </c>
      <c r="E32" s="824">
        <v>26775</v>
      </c>
      <c r="F32" s="825">
        <v>25000</v>
      </c>
      <c r="G32" s="826">
        <f t="shared" ref="G32:G37" si="6">F32*1/12</f>
        <v>2083.3333333333335</v>
      </c>
      <c r="H32" s="498">
        <v>2275</v>
      </c>
      <c r="I32" s="827">
        <f>F32*2/12</f>
        <v>4166.666666666667</v>
      </c>
      <c r="J32" s="498">
        <v>4550</v>
      </c>
      <c r="K32" s="827">
        <f t="shared" ref="K32:K37" si="7">F32*3/12</f>
        <v>6250</v>
      </c>
      <c r="L32" s="498">
        <v>6650</v>
      </c>
      <c r="M32" s="498"/>
      <c r="N32" s="498"/>
      <c r="O32" s="498"/>
      <c r="P32" s="498"/>
      <c r="Q32" s="498"/>
      <c r="R32" s="498"/>
      <c r="S32" s="498"/>
      <c r="T32" s="498"/>
      <c r="U32" s="498"/>
      <c r="V32" s="498"/>
      <c r="W32" s="508"/>
      <c r="X32" s="508"/>
    </row>
    <row r="33" spans="1:26" x14ac:dyDescent="0.3">
      <c r="A33" s="493" t="s">
        <v>125</v>
      </c>
      <c r="B33" s="493" t="s">
        <v>125</v>
      </c>
      <c r="C33" s="822" t="s">
        <v>831</v>
      </c>
      <c r="D33" s="823">
        <v>30000</v>
      </c>
      <c r="E33" s="828">
        <v>15180</v>
      </c>
      <c r="F33" s="825">
        <v>30000</v>
      </c>
      <c r="G33" s="826">
        <f t="shared" si="6"/>
        <v>2500</v>
      </c>
      <c r="H33" s="498">
        <v>400</v>
      </c>
      <c r="I33" s="827">
        <f t="shared" ref="I33:I53" si="8">F33*2/12</f>
        <v>5000</v>
      </c>
      <c r="J33" s="498">
        <v>775</v>
      </c>
      <c r="K33" s="827">
        <f t="shared" si="7"/>
        <v>7500</v>
      </c>
      <c r="L33" s="498">
        <v>1815</v>
      </c>
      <c r="M33" s="498"/>
      <c r="N33" s="498"/>
      <c r="O33" s="498"/>
      <c r="P33" s="498"/>
      <c r="Q33" s="498"/>
      <c r="R33" s="500"/>
      <c r="S33" s="500"/>
      <c r="T33" s="500"/>
      <c r="U33" s="500"/>
      <c r="V33" s="500"/>
      <c r="W33" s="500"/>
      <c r="X33" s="500"/>
    </row>
    <row r="34" spans="1:26" x14ac:dyDescent="0.3">
      <c r="A34" s="493" t="s">
        <v>126</v>
      </c>
      <c r="B34" s="493" t="s">
        <v>126</v>
      </c>
      <c r="C34" s="822" t="s">
        <v>832</v>
      </c>
      <c r="D34" s="823">
        <v>25000</v>
      </c>
      <c r="E34" s="828">
        <v>19640</v>
      </c>
      <c r="F34" s="825">
        <v>25000</v>
      </c>
      <c r="G34" s="826">
        <f t="shared" si="6"/>
        <v>2083.3333333333335</v>
      </c>
      <c r="H34" s="498">
        <v>0</v>
      </c>
      <c r="I34" s="827">
        <f t="shared" si="8"/>
        <v>4166.666666666667</v>
      </c>
      <c r="J34" s="498">
        <v>700</v>
      </c>
      <c r="K34" s="827">
        <f t="shared" si="7"/>
        <v>6250</v>
      </c>
      <c r="L34" s="498">
        <v>1200</v>
      </c>
      <c r="M34" s="498"/>
      <c r="N34" s="498"/>
      <c r="O34" s="498"/>
      <c r="P34" s="498"/>
      <c r="Q34" s="498"/>
      <c r="R34" s="500"/>
      <c r="S34" s="500"/>
      <c r="T34" s="500"/>
      <c r="U34" s="500"/>
      <c r="V34" s="500"/>
      <c r="W34" s="500"/>
      <c r="X34" s="500"/>
    </row>
    <row r="35" spans="1:26" x14ac:dyDescent="0.3">
      <c r="A35" s="493" t="s">
        <v>127</v>
      </c>
      <c r="B35" s="493" t="s">
        <v>127</v>
      </c>
      <c r="C35" s="822" t="s">
        <v>833</v>
      </c>
      <c r="D35" s="823">
        <v>500</v>
      </c>
      <c r="E35" s="828">
        <v>180</v>
      </c>
      <c r="F35" s="825">
        <v>500</v>
      </c>
      <c r="G35" s="826">
        <f t="shared" si="6"/>
        <v>41.666666666666664</v>
      </c>
      <c r="H35" s="498">
        <v>0</v>
      </c>
      <c r="I35" s="827">
        <f t="shared" si="8"/>
        <v>83.333333333333329</v>
      </c>
      <c r="J35" s="498">
        <v>0</v>
      </c>
      <c r="K35" s="827">
        <f t="shared" si="7"/>
        <v>125</v>
      </c>
      <c r="L35" s="498">
        <v>0</v>
      </c>
      <c r="M35" s="498"/>
      <c r="N35" s="498"/>
      <c r="O35" s="498"/>
      <c r="P35" s="498"/>
      <c r="Q35" s="498"/>
      <c r="R35" s="500"/>
      <c r="S35" s="500"/>
      <c r="T35" s="500"/>
      <c r="U35" s="500"/>
      <c r="V35" s="500"/>
      <c r="W35" s="500"/>
      <c r="X35" s="500"/>
    </row>
    <row r="36" spans="1:26" x14ac:dyDescent="0.3">
      <c r="A36" s="493" t="s">
        <v>129</v>
      </c>
      <c r="B36" s="493" t="s">
        <v>129</v>
      </c>
      <c r="C36" s="822" t="s">
        <v>834</v>
      </c>
      <c r="D36" s="823">
        <v>13500</v>
      </c>
      <c r="E36" s="828">
        <v>10765</v>
      </c>
      <c r="F36" s="825">
        <v>13500</v>
      </c>
      <c r="G36" s="826">
        <f t="shared" si="6"/>
        <v>1125</v>
      </c>
      <c r="H36" s="498">
        <v>480</v>
      </c>
      <c r="I36" s="827">
        <f t="shared" si="8"/>
        <v>2250</v>
      </c>
      <c r="J36" s="498">
        <v>1415</v>
      </c>
      <c r="K36" s="827">
        <f t="shared" si="7"/>
        <v>3375</v>
      </c>
      <c r="L36" s="498">
        <v>2255</v>
      </c>
      <c r="M36" s="498"/>
      <c r="N36" s="498"/>
      <c r="O36" s="498"/>
      <c r="P36" s="498"/>
      <c r="Q36" s="498"/>
      <c r="R36" s="500"/>
      <c r="S36" s="500"/>
      <c r="T36" s="500"/>
      <c r="U36" s="500"/>
      <c r="V36" s="500"/>
      <c r="W36" s="500"/>
      <c r="X36" s="500"/>
    </row>
    <row r="37" spans="1:26" x14ac:dyDescent="0.3">
      <c r="A37" s="493" t="s">
        <v>835</v>
      </c>
      <c r="B37" s="493" t="s">
        <v>127</v>
      </c>
      <c r="C37" s="822" t="s">
        <v>836</v>
      </c>
      <c r="D37" s="823">
        <v>300</v>
      </c>
      <c r="E37" s="828">
        <v>0</v>
      </c>
      <c r="F37" s="825">
        <v>300</v>
      </c>
      <c r="G37" s="826">
        <f t="shared" si="6"/>
        <v>25</v>
      </c>
      <c r="H37" s="498">
        <v>0</v>
      </c>
      <c r="I37" s="827">
        <f t="shared" si="8"/>
        <v>50</v>
      </c>
      <c r="J37" s="498">
        <v>0</v>
      </c>
      <c r="K37" s="827">
        <f t="shared" si="7"/>
        <v>75</v>
      </c>
      <c r="L37" s="498">
        <v>0</v>
      </c>
      <c r="M37" s="498"/>
      <c r="N37" s="498"/>
      <c r="O37" s="498"/>
      <c r="P37" s="498"/>
      <c r="Q37" s="498"/>
      <c r="R37" s="500"/>
      <c r="S37" s="500"/>
      <c r="T37" s="500"/>
      <c r="U37" s="500"/>
      <c r="V37" s="500"/>
      <c r="W37" s="500"/>
      <c r="X37" s="500"/>
    </row>
    <row r="38" spans="1:26" x14ac:dyDescent="0.3">
      <c r="A38" s="501" t="s">
        <v>837</v>
      </c>
      <c r="B38" s="501"/>
      <c r="C38" s="829" t="s">
        <v>838</v>
      </c>
      <c r="D38" s="830"/>
      <c r="E38" s="831"/>
      <c r="F38" s="832"/>
      <c r="G38" s="832"/>
      <c r="H38" s="506"/>
      <c r="I38" s="506"/>
      <c r="J38" s="506"/>
      <c r="K38" s="510"/>
      <c r="L38" s="506"/>
      <c r="M38" s="506"/>
      <c r="N38" s="506"/>
      <c r="O38" s="506"/>
      <c r="P38" s="506"/>
      <c r="Q38" s="506"/>
      <c r="R38" s="507"/>
      <c r="S38" s="507"/>
      <c r="T38" s="507"/>
      <c r="U38" s="507"/>
      <c r="V38" s="507"/>
      <c r="W38" s="507"/>
      <c r="X38" s="507"/>
    </row>
    <row r="39" spans="1:26" x14ac:dyDescent="0.3">
      <c r="A39" s="501" t="s">
        <v>839</v>
      </c>
      <c r="B39" s="501"/>
      <c r="C39" s="829" t="s">
        <v>840</v>
      </c>
      <c r="D39" s="830"/>
      <c r="E39" s="831"/>
      <c r="F39" s="832"/>
      <c r="G39" s="832"/>
      <c r="H39" s="506"/>
      <c r="I39" s="506"/>
      <c r="J39" s="506"/>
      <c r="K39" s="510"/>
      <c r="L39" s="506"/>
      <c r="M39" s="506"/>
      <c r="N39" s="506"/>
      <c r="O39" s="506"/>
      <c r="P39" s="506"/>
      <c r="Q39" s="506"/>
      <c r="R39" s="507"/>
      <c r="S39" s="507"/>
      <c r="T39" s="507"/>
      <c r="U39" s="507"/>
      <c r="V39" s="507"/>
      <c r="W39" s="507"/>
      <c r="X39" s="507"/>
    </row>
    <row r="40" spans="1:26" x14ac:dyDescent="0.3">
      <c r="A40" s="493" t="s">
        <v>155</v>
      </c>
      <c r="B40" s="493" t="s">
        <v>154</v>
      </c>
      <c r="C40" s="822" t="s">
        <v>841</v>
      </c>
      <c r="D40" s="823">
        <v>63000</v>
      </c>
      <c r="E40" s="824">
        <v>68187</v>
      </c>
      <c r="F40" s="825">
        <v>63000</v>
      </c>
      <c r="G40" s="826">
        <f>F40*1/12</f>
        <v>5250</v>
      </c>
      <c r="H40" s="498">
        <v>5988</v>
      </c>
      <c r="I40" s="827">
        <f t="shared" si="8"/>
        <v>10500</v>
      </c>
      <c r="J40" s="498">
        <v>11676</v>
      </c>
      <c r="K40" s="827">
        <f>F40*3/12</f>
        <v>15750</v>
      </c>
      <c r="L40" s="498">
        <v>16930.2</v>
      </c>
      <c r="M40" s="498"/>
      <c r="N40" s="498"/>
      <c r="O40" s="498"/>
      <c r="P40" s="498"/>
      <c r="Q40" s="498"/>
      <c r="R40" s="500"/>
      <c r="S40" s="500"/>
      <c r="T40" s="500"/>
      <c r="U40" s="500"/>
      <c r="V40" s="500"/>
      <c r="W40" s="508"/>
      <c r="X40" s="508"/>
    </row>
    <row r="41" spans="1:26" x14ac:dyDescent="0.3">
      <c r="A41" s="493" t="s">
        <v>160</v>
      </c>
      <c r="B41" s="493" t="s">
        <v>154</v>
      </c>
      <c r="C41" s="822" t="s">
        <v>842</v>
      </c>
      <c r="D41" s="823">
        <v>19000</v>
      </c>
      <c r="E41" s="824">
        <v>21331.89</v>
      </c>
      <c r="F41" s="825">
        <v>19000</v>
      </c>
      <c r="G41" s="826">
        <f>F41*1/12</f>
        <v>1583.3333333333333</v>
      </c>
      <c r="H41" s="498">
        <v>1816.51</v>
      </c>
      <c r="I41" s="827">
        <f t="shared" si="8"/>
        <v>3166.6666666666665</v>
      </c>
      <c r="J41" s="498">
        <v>3353.87</v>
      </c>
      <c r="K41" s="827">
        <f t="shared" ref="K41:K54" si="9">F41*3/12</f>
        <v>4750</v>
      </c>
      <c r="L41" s="498">
        <v>3353.87</v>
      </c>
      <c r="M41" s="498"/>
      <c r="N41" s="498"/>
      <c r="O41" s="498"/>
      <c r="P41" s="498"/>
      <c r="Q41" s="498"/>
      <c r="R41" s="500"/>
      <c r="S41" s="500"/>
      <c r="T41" s="500"/>
      <c r="U41" s="500"/>
      <c r="V41" s="508"/>
      <c r="W41" s="508"/>
      <c r="X41" s="508"/>
    </row>
    <row r="42" spans="1:26" x14ac:dyDescent="0.3">
      <c r="A42" s="493" t="s">
        <v>843</v>
      </c>
      <c r="B42" s="493" t="s">
        <v>154</v>
      </c>
      <c r="C42" s="822" t="s">
        <v>844</v>
      </c>
      <c r="D42" s="823">
        <v>200</v>
      </c>
      <c r="E42" s="828">
        <v>0</v>
      </c>
      <c r="F42" s="825">
        <v>200</v>
      </c>
      <c r="G42" s="826">
        <f>F42*1/12</f>
        <v>16.666666666666668</v>
      </c>
      <c r="H42" s="498">
        <v>0</v>
      </c>
      <c r="I42" s="827">
        <f t="shared" si="8"/>
        <v>33.333333333333336</v>
      </c>
      <c r="J42" s="498">
        <v>0</v>
      </c>
      <c r="K42" s="827">
        <f t="shared" si="9"/>
        <v>50</v>
      </c>
      <c r="L42" s="498">
        <v>0</v>
      </c>
      <c r="M42" s="498"/>
      <c r="N42" s="498"/>
      <c r="O42" s="498"/>
      <c r="P42" s="498"/>
      <c r="Q42" s="498"/>
      <c r="R42" s="500"/>
      <c r="S42" s="500"/>
      <c r="T42" s="500"/>
      <c r="U42" s="500"/>
      <c r="V42" s="500"/>
      <c r="W42" s="500"/>
      <c r="X42" s="500"/>
    </row>
    <row r="43" spans="1:26" x14ac:dyDescent="0.3">
      <c r="A43" s="493" t="s">
        <v>163</v>
      </c>
      <c r="B43" s="493" t="s">
        <v>152</v>
      </c>
      <c r="C43" s="822" t="s">
        <v>164</v>
      </c>
      <c r="D43" s="823">
        <v>185</v>
      </c>
      <c r="E43" s="824">
        <v>191.51</v>
      </c>
      <c r="F43" s="825">
        <v>185</v>
      </c>
      <c r="G43" s="826">
        <f>F43*1/12</f>
        <v>15.416666666666666</v>
      </c>
      <c r="H43" s="498">
        <v>0</v>
      </c>
      <c r="I43" s="827">
        <f t="shared" si="8"/>
        <v>30.833333333333332</v>
      </c>
      <c r="J43" s="498">
        <v>0</v>
      </c>
      <c r="K43" s="827">
        <f t="shared" si="9"/>
        <v>46.25</v>
      </c>
      <c r="L43" s="498">
        <v>0</v>
      </c>
      <c r="M43" s="498"/>
      <c r="N43" s="498"/>
      <c r="O43" s="498"/>
      <c r="P43" s="498"/>
      <c r="Q43" s="498"/>
      <c r="R43" s="508"/>
      <c r="S43" s="508"/>
      <c r="T43" s="508"/>
      <c r="U43" s="508"/>
      <c r="V43" s="508"/>
      <c r="W43" s="508"/>
      <c r="X43" s="508"/>
    </row>
    <row r="44" spans="1:26" s="420" customFormat="1" x14ac:dyDescent="0.3">
      <c r="A44" s="501" t="s">
        <v>845</v>
      </c>
      <c r="B44" s="501"/>
      <c r="C44" s="829" t="s">
        <v>846</v>
      </c>
      <c r="D44" s="830"/>
      <c r="E44" s="833"/>
      <c r="F44" s="832"/>
      <c r="G44" s="832"/>
      <c r="H44" s="510"/>
      <c r="I44" s="506"/>
      <c r="J44" s="510"/>
      <c r="K44" s="510"/>
      <c r="L44" s="510"/>
      <c r="M44" s="510"/>
      <c r="N44" s="510"/>
      <c r="O44" s="510"/>
      <c r="P44" s="510"/>
      <c r="Q44" s="510"/>
      <c r="R44" s="511"/>
      <c r="S44" s="511"/>
      <c r="T44" s="511"/>
      <c r="U44" s="511"/>
      <c r="V44" s="511"/>
      <c r="W44" s="511"/>
      <c r="X44" s="511"/>
      <c r="Y44" s="418"/>
      <c r="Z44" s="419"/>
    </row>
    <row r="45" spans="1:26" x14ac:dyDescent="0.3">
      <c r="A45" s="493" t="s">
        <v>847</v>
      </c>
      <c r="B45" s="493" t="s">
        <v>152</v>
      </c>
      <c r="C45" s="822" t="s">
        <v>587</v>
      </c>
      <c r="D45" s="823">
        <v>92500</v>
      </c>
      <c r="E45" s="828">
        <v>90530.79</v>
      </c>
      <c r="F45" s="825">
        <v>92500</v>
      </c>
      <c r="G45" s="826">
        <f t="shared" ref="G45:G50" si="10">F45*1/12</f>
        <v>7708.333333333333</v>
      </c>
      <c r="H45" s="500">
        <v>7380.67</v>
      </c>
      <c r="I45" s="827">
        <f t="shared" si="8"/>
        <v>15416.666666666666</v>
      </c>
      <c r="J45" s="500">
        <v>16443.93</v>
      </c>
      <c r="K45" s="827">
        <f t="shared" si="9"/>
        <v>23125</v>
      </c>
      <c r="L45" s="500">
        <v>22332.21</v>
      </c>
      <c r="M45" s="500"/>
      <c r="N45" s="500"/>
      <c r="O45" s="500"/>
      <c r="P45" s="500"/>
      <c r="Q45" s="500"/>
      <c r="R45" s="500"/>
      <c r="S45" s="500"/>
      <c r="T45" s="500"/>
      <c r="U45" s="500"/>
      <c r="V45" s="500"/>
      <c r="W45" s="500"/>
      <c r="X45" s="500"/>
    </row>
    <row r="46" spans="1:26" x14ac:dyDescent="0.3">
      <c r="A46" s="493" t="s">
        <v>170</v>
      </c>
      <c r="B46" s="493" t="s">
        <v>152</v>
      </c>
      <c r="C46" s="822" t="s">
        <v>848</v>
      </c>
      <c r="D46" s="823">
        <v>26000</v>
      </c>
      <c r="E46" s="828">
        <v>20905.61</v>
      </c>
      <c r="F46" s="825">
        <v>26000</v>
      </c>
      <c r="G46" s="826">
        <f t="shared" si="10"/>
        <v>2166.6666666666665</v>
      </c>
      <c r="H46" s="500">
        <v>2262.1</v>
      </c>
      <c r="I46" s="827">
        <f t="shared" si="8"/>
        <v>4333.333333333333</v>
      </c>
      <c r="J46" s="500">
        <v>4128.1000000000004</v>
      </c>
      <c r="K46" s="827">
        <f t="shared" si="9"/>
        <v>6500</v>
      </c>
      <c r="L46" s="500">
        <v>7815.69</v>
      </c>
      <c r="M46" s="500"/>
      <c r="N46" s="500"/>
      <c r="O46" s="500"/>
      <c r="P46" s="500"/>
      <c r="Q46" s="500"/>
      <c r="R46" s="500"/>
      <c r="S46" s="500"/>
      <c r="T46" s="500"/>
      <c r="U46" s="500"/>
      <c r="V46" s="500"/>
      <c r="W46" s="500"/>
      <c r="X46" s="500"/>
    </row>
    <row r="47" spans="1:26" x14ac:dyDescent="0.3">
      <c r="A47" s="493" t="s">
        <v>849</v>
      </c>
      <c r="B47" s="493" t="s">
        <v>152</v>
      </c>
      <c r="C47" s="822" t="s">
        <v>590</v>
      </c>
      <c r="D47" s="823">
        <v>73000</v>
      </c>
      <c r="E47" s="828">
        <v>63085.8</v>
      </c>
      <c r="F47" s="825">
        <v>73000</v>
      </c>
      <c r="G47" s="826">
        <f t="shared" si="10"/>
        <v>6083.333333333333</v>
      </c>
      <c r="H47" s="500">
        <v>5328.13</v>
      </c>
      <c r="I47" s="827">
        <f t="shared" si="8"/>
        <v>12166.666666666666</v>
      </c>
      <c r="J47" s="500">
        <v>10785.98</v>
      </c>
      <c r="K47" s="827">
        <f t="shared" si="9"/>
        <v>18250</v>
      </c>
      <c r="L47" s="500">
        <v>10785.98</v>
      </c>
      <c r="M47" s="500"/>
      <c r="N47" s="500"/>
      <c r="O47" s="500"/>
      <c r="P47" s="500"/>
      <c r="Q47" s="500"/>
      <c r="R47" s="500"/>
      <c r="S47" s="500"/>
      <c r="T47" s="500"/>
      <c r="U47" s="500"/>
      <c r="V47" s="500"/>
      <c r="W47" s="500"/>
      <c r="X47" s="500"/>
    </row>
    <row r="48" spans="1:26" x14ac:dyDescent="0.3">
      <c r="A48" s="493" t="s">
        <v>175</v>
      </c>
      <c r="B48" s="493" t="s">
        <v>152</v>
      </c>
      <c r="C48" s="822" t="s">
        <v>850</v>
      </c>
      <c r="D48" s="823">
        <v>14500</v>
      </c>
      <c r="E48" s="828">
        <v>12261.25</v>
      </c>
      <c r="F48" s="825">
        <v>14500</v>
      </c>
      <c r="G48" s="826">
        <f t="shared" si="10"/>
        <v>1208.3333333333333</v>
      </c>
      <c r="H48" s="500">
        <v>988.46</v>
      </c>
      <c r="I48" s="827">
        <f t="shared" si="8"/>
        <v>2416.6666666666665</v>
      </c>
      <c r="J48" s="500">
        <v>2351.02</v>
      </c>
      <c r="K48" s="827">
        <f t="shared" si="9"/>
        <v>3625</v>
      </c>
      <c r="L48" s="500">
        <v>2351.02</v>
      </c>
      <c r="M48" s="500"/>
      <c r="N48" s="500"/>
      <c r="O48" s="500"/>
      <c r="P48" s="500"/>
      <c r="Q48" s="500"/>
      <c r="R48" s="500"/>
      <c r="S48" s="500"/>
      <c r="T48" s="500"/>
      <c r="U48" s="500"/>
      <c r="V48" s="500"/>
      <c r="W48" s="500"/>
      <c r="X48" s="500"/>
    </row>
    <row r="49" spans="1:26" x14ac:dyDescent="0.3">
      <c r="A49" s="493" t="s">
        <v>851</v>
      </c>
      <c r="B49" s="493" t="s">
        <v>152</v>
      </c>
      <c r="C49" s="822" t="s">
        <v>852</v>
      </c>
      <c r="D49" s="823">
        <v>200</v>
      </c>
      <c r="E49" s="828">
        <v>0</v>
      </c>
      <c r="F49" s="825">
        <v>200</v>
      </c>
      <c r="G49" s="826">
        <f t="shared" si="10"/>
        <v>16.666666666666668</v>
      </c>
      <c r="H49" s="500">
        <v>0</v>
      </c>
      <c r="I49" s="827">
        <f t="shared" si="8"/>
        <v>33.333333333333336</v>
      </c>
      <c r="J49" s="500">
        <v>0</v>
      </c>
      <c r="K49" s="827">
        <f t="shared" si="9"/>
        <v>50</v>
      </c>
      <c r="L49" s="500">
        <v>0</v>
      </c>
      <c r="M49" s="500"/>
      <c r="N49" s="500"/>
      <c r="O49" s="500"/>
      <c r="P49" s="500"/>
      <c r="Q49" s="500"/>
      <c r="R49" s="500"/>
      <c r="S49" s="500"/>
      <c r="T49" s="500"/>
      <c r="U49" s="500"/>
      <c r="V49" s="500"/>
      <c r="W49" s="500"/>
      <c r="X49" s="500"/>
    </row>
    <row r="50" spans="1:26" x14ac:dyDescent="0.3">
      <c r="A50" s="493" t="s">
        <v>178</v>
      </c>
      <c r="B50" s="493" t="s">
        <v>152</v>
      </c>
      <c r="C50" s="822" t="s">
        <v>179</v>
      </c>
      <c r="D50" s="823">
        <v>500</v>
      </c>
      <c r="E50" s="828">
        <v>457.09</v>
      </c>
      <c r="F50" s="825">
        <v>500</v>
      </c>
      <c r="G50" s="826">
        <f t="shared" si="10"/>
        <v>41.666666666666664</v>
      </c>
      <c r="H50" s="500">
        <v>0</v>
      </c>
      <c r="I50" s="827">
        <f t="shared" si="8"/>
        <v>83.333333333333329</v>
      </c>
      <c r="J50" s="500">
        <v>0</v>
      </c>
      <c r="K50" s="827">
        <f t="shared" si="9"/>
        <v>125</v>
      </c>
      <c r="L50" s="500">
        <v>0</v>
      </c>
      <c r="M50" s="500"/>
      <c r="N50" s="500"/>
      <c r="O50" s="500"/>
      <c r="P50" s="500"/>
      <c r="Q50" s="500"/>
      <c r="R50" s="500"/>
      <c r="S50" s="500"/>
      <c r="T50" s="500"/>
      <c r="U50" s="500"/>
      <c r="V50" s="500"/>
      <c r="W50" s="500"/>
      <c r="X50" s="834"/>
    </row>
    <row r="51" spans="1:26" s="420" customFormat="1" x14ac:dyDescent="0.3">
      <c r="A51" s="501" t="s">
        <v>853</v>
      </c>
      <c r="B51" s="501"/>
      <c r="C51" s="829" t="s">
        <v>854</v>
      </c>
      <c r="D51" s="830"/>
      <c r="E51" s="833"/>
      <c r="F51" s="832"/>
      <c r="G51" s="832"/>
      <c r="H51" s="510"/>
      <c r="I51" s="506"/>
      <c r="J51" s="510"/>
      <c r="K51" s="510"/>
      <c r="L51" s="510"/>
      <c r="M51" s="510"/>
      <c r="N51" s="510"/>
      <c r="O51" s="510"/>
      <c r="P51" s="510"/>
      <c r="Q51" s="510"/>
      <c r="R51" s="511"/>
      <c r="S51" s="511"/>
      <c r="T51" s="511"/>
      <c r="U51" s="511"/>
      <c r="V51" s="511"/>
      <c r="W51" s="511"/>
      <c r="X51" s="511"/>
      <c r="Y51" s="418"/>
      <c r="Z51" s="419"/>
    </row>
    <row r="52" spans="1:26" x14ac:dyDescent="0.3">
      <c r="A52" s="493" t="s">
        <v>855</v>
      </c>
      <c r="B52" s="493" t="s">
        <v>1308</v>
      </c>
      <c r="C52" s="822" t="s">
        <v>856</v>
      </c>
      <c r="D52" s="823">
        <v>0</v>
      </c>
      <c r="E52" s="828">
        <v>0</v>
      </c>
      <c r="F52" s="825">
        <v>0</v>
      </c>
      <c r="G52" s="826">
        <f>F52*1/12</f>
        <v>0</v>
      </c>
      <c r="H52" s="498">
        <v>0</v>
      </c>
      <c r="I52" s="827">
        <f t="shared" si="8"/>
        <v>0</v>
      </c>
      <c r="J52" s="498">
        <v>0</v>
      </c>
      <c r="K52" s="827">
        <f t="shared" si="9"/>
        <v>0</v>
      </c>
      <c r="L52" s="498">
        <v>0</v>
      </c>
      <c r="M52" s="498"/>
      <c r="N52" s="498"/>
      <c r="O52" s="498"/>
      <c r="P52" s="498"/>
      <c r="Q52" s="498"/>
      <c r="R52" s="500"/>
      <c r="S52" s="500"/>
      <c r="T52" s="500"/>
      <c r="U52" s="500"/>
      <c r="V52" s="500"/>
      <c r="W52" s="500"/>
      <c r="X52" s="500"/>
    </row>
    <row r="53" spans="1:26" x14ac:dyDescent="0.3">
      <c r="A53" s="493" t="s">
        <v>857</v>
      </c>
      <c r="B53" s="493" t="s">
        <v>154</v>
      </c>
      <c r="C53" s="822" t="s">
        <v>158</v>
      </c>
      <c r="D53" s="823">
        <v>0</v>
      </c>
      <c r="E53" s="828">
        <v>0</v>
      </c>
      <c r="F53" s="825">
        <v>0</v>
      </c>
      <c r="G53" s="826">
        <f>F53*1/12</f>
        <v>0</v>
      </c>
      <c r="H53" s="498">
        <v>0</v>
      </c>
      <c r="I53" s="827">
        <f t="shared" si="8"/>
        <v>0</v>
      </c>
      <c r="J53" s="498">
        <v>0</v>
      </c>
      <c r="K53" s="827">
        <f t="shared" si="9"/>
        <v>0</v>
      </c>
      <c r="L53" s="498">
        <v>0</v>
      </c>
      <c r="M53" s="498"/>
      <c r="N53" s="498"/>
      <c r="O53" s="498"/>
      <c r="P53" s="498"/>
      <c r="Q53" s="498"/>
      <c r="R53" s="500"/>
      <c r="S53" s="500"/>
      <c r="T53" s="500"/>
      <c r="U53" s="500"/>
      <c r="V53" s="500"/>
      <c r="W53" s="500"/>
      <c r="X53" s="500"/>
    </row>
    <row r="54" spans="1:26" x14ac:dyDescent="0.3">
      <c r="A54" s="512" t="s">
        <v>165</v>
      </c>
      <c r="B54" s="512" t="s">
        <v>304</v>
      </c>
      <c r="C54" s="835" t="s">
        <v>858</v>
      </c>
      <c r="D54" s="830">
        <v>0</v>
      </c>
      <c r="E54" s="831">
        <v>0</v>
      </c>
      <c r="F54" s="832">
        <v>0</v>
      </c>
      <c r="G54" s="836">
        <f>F54*1/12</f>
        <v>0</v>
      </c>
      <c r="H54" s="506">
        <v>0</v>
      </c>
      <c r="I54" s="836">
        <f>F54*2/12</f>
        <v>0</v>
      </c>
      <c r="J54" s="506">
        <v>0</v>
      </c>
      <c r="K54" s="827">
        <f t="shared" si="9"/>
        <v>0</v>
      </c>
      <c r="L54" s="506">
        <v>0</v>
      </c>
      <c r="M54" s="506"/>
      <c r="N54" s="506"/>
      <c r="O54" s="506"/>
      <c r="P54" s="506"/>
      <c r="Q54" s="506"/>
      <c r="R54" s="507"/>
      <c r="S54" s="507"/>
      <c r="T54" s="507"/>
      <c r="U54" s="507"/>
      <c r="V54" s="507"/>
      <c r="W54" s="507"/>
      <c r="X54" s="507"/>
    </row>
    <row r="55" spans="1:26" x14ac:dyDescent="0.3">
      <c r="A55" s="514"/>
      <c r="B55" s="514"/>
      <c r="C55" s="515" t="s">
        <v>859</v>
      </c>
      <c r="D55" s="818">
        <f t="shared" ref="D55:X55" si="11">SUM(D32:D54)</f>
        <v>383385</v>
      </c>
      <c r="E55" s="837">
        <f t="shared" si="11"/>
        <v>349490.94</v>
      </c>
      <c r="F55" s="819">
        <f t="shared" si="11"/>
        <v>383385</v>
      </c>
      <c r="G55" s="819">
        <f t="shared" si="11"/>
        <v>31948.750000000004</v>
      </c>
      <c r="H55" s="517">
        <f t="shared" si="11"/>
        <v>26918.87</v>
      </c>
      <c r="I55" s="517">
        <f t="shared" si="11"/>
        <v>63897.500000000007</v>
      </c>
      <c r="J55" s="517">
        <f t="shared" si="11"/>
        <v>56178.9</v>
      </c>
      <c r="K55" s="517">
        <f t="shared" si="11"/>
        <v>95846.25</v>
      </c>
      <c r="L55" s="517">
        <f t="shared" si="11"/>
        <v>75488.97</v>
      </c>
      <c r="M55" s="517">
        <f t="shared" si="11"/>
        <v>0</v>
      </c>
      <c r="N55" s="517">
        <f t="shared" si="11"/>
        <v>0</v>
      </c>
      <c r="O55" s="517">
        <f t="shared" si="11"/>
        <v>0</v>
      </c>
      <c r="P55" s="517">
        <f t="shared" si="11"/>
        <v>0</v>
      </c>
      <c r="Q55" s="517">
        <f t="shared" si="11"/>
        <v>0</v>
      </c>
      <c r="R55" s="517">
        <f t="shared" si="11"/>
        <v>0</v>
      </c>
      <c r="S55" s="517">
        <f t="shared" si="11"/>
        <v>0</v>
      </c>
      <c r="T55" s="517">
        <f t="shared" si="11"/>
        <v>0</v>
      </c>
      <c r="U55" s="517">
        <f t="shared" si="11"/>
        <v>0</v>
      </c>
      <c r="V55" s="517">
        <f t="shared" si="11"/>
        <v>0</v>
      </c>
      <c r="W55" s="517">
        <f t="shared" si="11"/>
        <v>0</v>
      </c>
      <c r="X55" s="517">
        <f t="shared" si="11"/>
        <v>0</v>
      </c>
    </row>
    <row r="56" spans="1:26" s="420" customFormat="1" x14ac:dyDescent="0.3">
      <c r="A56" s="501" t="s">
        <v>860</v>
      </c>
      <c r="B56" s="501"/>
      <c r="C56" s="835" t="s">
        <v>861</v>
      </c>
      <c r="D56" s="830"/>
      <c r="E56" s="838"/>
      <c r="F56" s="832"/>
      <c r="G56" s="832"/>
      <c r="H56" s="510"/>
      <c r="I56" s="510"/>
      <c r="J56" s="510"/>
      <c r="K56" s="510"/>
      <c r="L56" s="510"/>
      <c r="M56" s="510"/>
      <c r="N56" s="510"/>
      <c r="O56" s="510"/>
      <c r="P56" s="510"/>
      <c r="Q56" s="510"/>
      <c r="R56" s="510"/>
      <c r="S56" s="510"/>
      <c r="T56" s="510"/>
      <c r="U56" s="510"/>
      <c r="V56" s="510"/>
      <c r="W56" s="510"/>
      <c r="X56" s="510"/>
      <c r="Y56" s="418"/>
      <c r="Z56" s="419"/>
    </row>
    <row r="57" spans="1:26" x14ac:dyDescent="0.3">
      <c r="A57" s="493" t="s">
        <v>196</v>
      </c>
      <c r="B57" s="493" t="s">
        <v>196</v>
      </c>
      <c r="C57" s="822" t="s">
        <v>862</v>
      </c>
      <c r="D57" s="823">
        <v>300</v>
      </c>
      <c r="E57" s="828">
        <v>73.260000000000005</v>
      </c>
      <c r="F57" s="825">
        <v>300</v>
      </c>
      <c r="G57" s="826">
        <f>F57*1/12</f>
        <v>25</v>
      </c>
      <c r="H57" s="498">
        <v>0</v>
      </c>
      <c r="I57" s="827">
        <f>F57*2/12</f>
        <v>50</v>
      </c>
      <c r="J57" s="500">
        <v>0</v>
      </c>
      <c r="K57" s="834">
        <f>F57*3/12</f>
        <v>75</v>
      </c>
      <c r="L57" s="500">
        <v>0</v>
      </c>
      <c r="M57" s="500"/>
      <c r="N57" s="500"/>
      <c r="O57" s="508"/>
      <c r="P57" s="508"/>
      <c r="Q57" s="500"/>
      <c r="R57" s="500"/>
      <c r="S57" s="500"/>
      <c r="T57" s="500"/>
      <c r="U57" s="500"/>
      <c r="V57" s="500"/>
      <c r="W57" s="500"/>
      <c r="X57" s="500"/>
    </row>
    <row r="58" spans="1:26" x14ac:dyDescent="0.3">
      <c r="A58" s="493" t="s">
        <v>205</v>
      </c>
      <c r="B58" s="493" t="s">
        <v>196</v>
      </c>
      <c r="C58" s="822" t="s">
        <v>863</v>
      </c>
      <c r="D58" s="823">
        <v>600</v>
      </c>
      <c r="E58" s="824">
        <v>1915.76</v>
      </c>
      <c r="F58" s="825">
        <v>600</v>
      </c>
      <c r="G58" s="826">
        <f t="shared" ref="G58:G64" si="12">F58*1/12</f>
        <v>50</v>
      </c>
      <c r="H58" s="498">
        <v>49.9</v>
      </c>
      <c r="I58" s="827">
        <f t="shared" ref="I58:I121" si="13">F58*2/12</f>
        <v>100</v>
      </c>
      <c r="J58" s="500">
        <v>99.8</v>
      </c>
      <c r="K58" s="834">
        <f t="shared" ref="K58:K88" si="14">F58*3/12</f>
        <v>150</v>
      </c>
      <c r="L58" s="500">
        <v>99.8</v>
      </c>
      <c r="M58" s="500"/>
      <c r="N58" s="500"/>
      <c r="O58" s="500"/>
      <c r="P58" s="500"/>
      <c r="Q58" s="508"/>
      <c r="R58" s="508"/>
      <c r="S58" s="508"/>
      <c r="T58" s="508"/>
      <c r="U58" s="508"/>
      <c r="V58" s="508"/>
      <c r="W58" s="508"/>
      <c r="X58" s="508"/>
    </row>
    <row r="59" spans="1:26" x14ac:dyDescent="0.3">
      <c r="A59" s="493" t="s">
        <v>864</v>
      </c>
      <c r="B59" s="493" t="s">
        <v>196</v>
      </c>
      <c r="C59" s="822" t="s">
        <v>865</v>
      </c>
      <c r="D59" s="823">
        <v>75</v>
      </c>
      <c r="E59" s="828">
        <v>74.02</v>
      </c>
      <c r="F59" s="825">
        <v>75</v>
      </c>
      <c r="G59" s="826">
        <f t="shared" si="12"/>
        <v>6.25</v>
      </c>
      <c r="H59" s="498">
        <v>0</v>
      </c>
      <c r="I59" s="827">
        <f t="shared" si="13"/>
        <v>12.5</v>
      </c>
      <c r="J59" s="500">
        <v>18.36</v>
      </c>
      <c r="K59" s="834">
        <f t="shared" si="14"/>
        <v>18.75</v>
      </c>
      <c r="L59" s="500">
        <v>18.36</v>
      </c>
      <c r="M59" s="500"/>
      <c r="N59" s="500"/>
      <c r="O59" s="500"/>
      <c r="P59" s="500"/>
      <c r="Q59" s="500"/>
      <c r="R59" s="500"/>
      <c r="S59" s="500"/>
      <c r="T59" s="500"/>
      <c r="U59" s="500"/>
      <c r="V59" s="500"/>
      <c r="W59" s="500"/>
      <c r="X59" s="500"/>
    </row>
    <row r="60" spans="1:26" x14ac:dyDescent="0.3">
      <c r="A60" s="493" t="s">
        <v>866</v>
      </c>
      <c r="B60" s="493" t="s">
        <v>196</v>
      </c>
      <c r="C60" s="822" t="s">
        <v>867</v>
      </c>
      <c r="D60" s="823">
        <v>0</v>
      </c>
      <c r="E60" s="828">
        <v>0</v>
      </c>
      <c r="F60" s="825">
        <v>0</v>
      </c>
      <c r="G60" s="826">
        <f t="shared" si="12"/>
        <v>0</v>
      </c>
      <c r="H60" s="498">
        <v>0</v>
      </c>
      <c r="I60" s="827">
        <f t="shared" si="13"/>
        <v>0</v>
      </c>
      <c r="J60" s="500">
        <v>0</v>
      </c>
      <c r="K60" s="834">
        <f t="shared" si="14"/>
        <v>0</v>
      </c>
      <c r="L60" s="500">
        <v>0</v>
      </c>
      <c r="M60" s="500"/>
      <c r="N60" s="500"/>
      <c r="O60" s="500"/>
      <c r="P60" s="500"/>
      <c r="Q60" s="500"/>
      <c r="R60" s="500"/>
      <c r="S60" s="500"/>
      <c r="T60" s="500"/>
      <c r="U60" s="500"/>
      <c r="V60" s="500"/>
      <c r="W60" s="500"/>
      <c r="X60" s="500"/>
    </row>
    <row r="61" spans="1:26" x14ac:dyDescent="0.3">
      <c r="A61" s="493" t="s">
        <v>868</v>
      </c>
      <c r="B61" s="493" t="s">
        <v>196</v>
      </c>
      <c r="C61" s="822" t="s">
        <v>869</v>
      </c>
      <c r="D61" s="823">
        <v>1000</v>
      </c>
      <c r="E61" s="828">
        <v>388.44</v>
      </c>
      <c r="F61" s="825">
        <v>1000</v>
      </c>
      <c r="G61" s="826">
        <f t="shared" si="12"/>
        <v>83.333333333333329</v>
      </c>
      <c r="H61" s="498">
        <v>0</v>
      </c>
      <c r="I61" s="827">
        <f t="shared" si="13"/>
        <v>166.66666666666666</v>
      </c>
      <c r="J61" s="500">
        <v>202.83</v>
      </c>
      <c r="K61" s="834">
        <f t="shared" si="14"/>
        <v>250</v>
      </c>
      <c r="L61" s="500">
        <v>410.48</v>
      </c>
      <c r="M61" s="500"/>
      <c r="N61" s="500"/>
      <c r="O61" s="500"/>
      <c r="P61" s="500"/>
      <c r="Q61" s="500"/>
      <c r="R61" s="500"/>
      <c r="S61" s="500"/>
      <c r="T61" s="500"/>
      <c r="U61" s="500"/>
      <c r="V61" s="500"/>
      <c r="W61" s="500"/>
      <c r="X61" s="500"/>
    </row>
    <row r="62" spans="1:26" x14ac:dyDescent="0.3">
      <c r="A62" s="493" t="s">
        <v>870</v>
      </c>
      <c r="B62" s="493" t="s">
        <v>871</v>
      </c>
      <c r="C62" s="822" t="s">
        <v>872</v>
      </c>
      <c r="D62" s="823">
        <v>250</v>
      </c>
      <c r="E62" s="828">
        <v>249.58</v>
      </c>
      <c r="F62" s="825">
        <v>250</v>
      </c>
      <c r="G62" s="826">
        <f t="shared" si="12"/>
        <v>20.833333333333332</v>
      </c>
      <c r="H62" s="498">
        <v>0</v>
      </c>
      <c r="I62" s="827">
        <f t="shared" si="13"/>
        <v>41.666666666666664</v>
      </c>
      <c r="J62" s="500">
        <v>0</v>
      </c>
      <c r="K62" s="834">
        <f t="shared" si="14"/>
        <v>62.5</v>
      </c>
      <c r="L62" s="500">
        <v>0</v>
      </c>
      <c r="M62" s="500"/>
      <c r="N62" s="500"/>
      <c r="O62" s="500"/>
      <c r="P62" s="500"/>
      <c r="Q62" s="500"/>
      <c r="R62" s="500"/>
      <c r="S62" s="500"/>
      <c r="T62" s="500"/>
      <c r="U62" s="500"/>
      <c r="V62" s="500"/>
      <c r="W62" s="500"/>
      <c r="X62" s="500"/>
    </row>
    <row r="63" spans="1:26" x14ac:dyDescent="0.3">
      <c r="A63" s="493" t="s">
        <v>873</v>
      </c>
      <c r="B63" s="493" t="s">
        <v>199</v>
      </c>
      <c r="C63" s="822" t="s">
        <v>874</v>
      </c>
      <c r="D63" s="823">
        <v>100</v>
      </c>
      <c r="E63" s="828">
        <v>0</v>
      </c>
      <c r="F63" s="825">
        <v>100</v>
      </c>
      <c r="G63" s="826">
        <f t="shared" si="12"/>
        <v>8.3333333333333339</v>
      </c>
      <c r="H63" s="498">
        <v>0</v>
      </c>
      <c r="I63" s="827">
        <f t="shared" si="13"/>
        <v>16.666666666666668</v>
      </c>
      <c r="J63" s="500">
        <v>0</v>
      </c>
      <c r="K63" s="834">
        <f t="shared" si="14"/>
        <v>25</v>
      </c>
      <c r="L63" s="500">
        <v>0</v>
      </c>
      <c r="M63" s="500"/>
      <c r="N63" s="500"/>
      <c r="O63" s="500"/>
      <c r="P63" s="500"/>
      <c r="Q63" s="500"/>
      <c r="R63" s="500"/>
      <c r="S63" s="500"/>
      <c r="T63" s="500"/>
      <c r="U63" s="500"/>
      <c r="V63" s="500"/>
      <c r="W63" s="500"/>
      <c r="X63" s="500"/>
    </row>
    <row r="64" spans="1:26" x14ac:dyDescent="0.3">
      <c r="A64" s="493" t="s">
        <v>202</v>
      </c>
      <c r="B64" s="493" t="s">
        <v>201</v>
      </c>
      <c r="C64" s="822" t="s">
        <v>875</v>
      </c>
      <c r="D64" s="823">
        <v>350</v>
      </c>
      <c r="E64" s="828">
        <v>332.2</v>
      </c>
      <c r="F64" s="825">
        <v>350</v>
      </c>
      <c r="G64" s="826">
        <f t="shared" si="12"/>
        <v>29.166666666666668</v>
      </c>
      <c r="H64" s="498">
        <v>0</v>
      </c>
      <c r="I64" s="827">
        <f t="shared" si="13"/>
        <v>58.333333333333336</v>
      </c>
      <c r="J64" s="500">
        <v>0</v>
      </c>
      <c r="K64" s="834">
        <f t="shared" si="14"/>
        <v>87.5</v>
      </c>
      <c r="L64" s="500">
        <v>0</v>
      </c>
      <c r="M64" s="500"/>
      <c r="N64" s="500"/>
      <c r="O64" s="500"/>
      <c r="P64" s="500"/>
      <c r="Q64" s="500"/>
      <c r="R64" s="500"/>
      <c r="S64" s="500"/>
      <c r="T64" s="500"/>
      <c r="U64" s="500"/>
      <c r="V64" s="500"/>
      <c r="W64" s="500"/>
      <c r="X64" s="500"/>
    </row>
    <row r="65" spans="1:26" s="420" customFormat="1" x14ac:dyDescent="0.3">
      <c r="A65" s="501" t="s">
        <v>876</v>
      </c>
      <c r="B65" s="501"/>
      <c r="C65" s="829" t="s">
        <v>877</v>
      </c>
      <c r="D65" s="830"/>
      <c r="E65" s="831"/>
      <c r="F65" s="832"/>
      <c r="G65" s="832"/>
      <c r="H65" s="510"/>
      <c r="I65" s="510"/>
      <c r="J65" s="511"/>
      <c r="K65" s="511"/>
      <c r="L65" s="511"/>
      <c r="M65" s="511"/>
      <c r="N65" s="511"/>
      <c r="O65" s="511"/>
      <c r="P65" s="511"/>
      <c r="Q65" s="511"/>
      <c r="R65" s="511"/>
      <c r="S65" s="511"/>
      <c r="T65" s="507"/>
      <c r="U65" s="507"/>
      <c r="V65" s="507"/>
      <c r="W65" s="507"/>
      <c r="X65" s="507"/>
      <c r="Y65" s="418"/>
      <c r="Z65" s="419"/>
    </row>
    <row r="66" spans="1:26" x14ac:dyDescent="0.3">
      <c r="A66" s="493" t="s">
        <v>878</v>
      </c>
      <c r="B66" s="493" t="s">
        <v>204</v>
      </c>
      <c r="C66" s="822" t="s">
        <v>879</v>
      </c>
      <c r="D66" s="823">
        <v>300</v>
      </c>
      <c r="E66" s="828">
        <v>166.95</v>
      </c>
      <c r="F66" s="825">
        <v>300</v>
      </c>
      <c r="G66" s="826">
        <f>F66*1/12</f>
        <v>25</v>
      </c>
      <c r="H66" s="500">
        <v>6.2</v>
      </c>
      <c r="I66" s="827">
        <f t="shared" si="13"/>
        <v>50</v>
      </c>
      <c r="J66" s="500">
        <v>15.15</v>
      </c>
      <c r="K66" s="834">
        <f t="shared" si="14"/>
        <v>75</v>
      </c>
      <c r="L66" s="500">
        <v>23.89</v>
      </c>
      <c r="M66" s="500"/>
      <c r="N66" s="500"/>
      <c r="O66" s="500"/>
      <c r="P66" s="500"/>
      <c r="Q66" s="500"/>
      <c r="R66" s="500"/>
      <c r="S66" s="500"/>
      <c r="T66" s="500"/>
      <c r="U66" s="500"/>
      <c r="V66" s="500"/>
      <c r="W66" s="500"/>
      <c r="X66" s="500"/>
    </row>
    <row r="67" spans="1:26" x14ac:dyDescent="0.3">
      <c r="A67" s="493" t="s">
        <v>880</v>
      </c>
      <c r="B67" s="493" t="s">
        <v>204</v>
      </c>
      <c r="C67" s="822" t="s">
        <v>881</v>
      </c>
      <c r="D67" s="823">
        <v>400</v>
      </c>
      <c r="E67" s="824">
        <v>481.83</v>
      </c>
      <c r="F67" s="825">
        <v>400</v>
      </c>
      <c r="G67" s="826">
        <f>F67*1/12</f>
        <v>33.333333333333336</v>
      </c>
      <c r="H67" s="500">
        <v>47.59</v>
      </c>
      <c r="I67" s="827">
        <f t="shared" si="13"/>
        <v>66.666666666666671</v>
      </c>
      <c r="J67" s="500">
        <v>95.18</v>
      </c>
      <c r="K67" s="834">
        <f t="shared" si="14"/>
        <v>100</v>
      </c>
      <c r="L67" s="500">
        <v>142.77000000000001</v>
      </c>
      <c r="M67" s="500"/>
      <c r="N67" s="500"/>
      <c r="O67" s="500"/>
      <c r="P67" s="500"/>
      <c r="Q67" s="500"/>
      <c r="R67" s="500"/>
      <c r="S67" s="500"/>
      <c r="T67" s="500"/>
      <c r="U67" s="508"/>
      <c r="V67" s="508"/>
      <c r="W67" s="508"/>
      <c r="X67" s="834"/>
    </row>
    <row r="68" spans="1:26" x14ac:dyDescent="0.3">
      <c r="A68" s="493" t="s">
        <v>882</v>
      </c>
      <c r="B68" s="493" t="s">
        <v>204</v>
      </c>
      <c r="C68" s="822" t="s">
        <v>883</v>
      </c>
      <c r="D68" s="823">
        <v>500</v>
      </c>
      <c r="E68" s="824">
        <v>711.24</v>
      </c>
      <c r="F68" s="825">
        <v>500</v>
      </c>
      <c r="G68" s="826">
        <f>F68*1/12</f>
        <v>41.666666666666664</v>
      </c>
      <c r="H68" s="500">
        <v>51.94</v>
      </c>
      <c r="I68" s="827">
        <f t="shared" si="13"/>
        <v>83.333333333333329</v>
      </c>
      <c r="J68" s="500">
        <v>115.76</v>
      </c>
      <c r="K68" s="834">
        <f t="shared" si="14"/>
        <v>125</v>
      </c>
      <c r="L68" s="500">
        <v>122.89</v>
      </c>
      <c r="M68" s="500"/>
      <c r="N68" s="500"/>
      <c r="O68" s="500"/>
      <c r="P68" s="500"/>
      <c r="Q68" s="500"/>
      <c r="R68" s="500"/>
      <c r="S68" s="500"/>
      <c r="T68" s="508"/>
      <c r="U68" s="508"/>
      <c r="V68" s="508"/>
      <c r="W68" s="508"/>
      <c r="X68" s="500"/>
    </row>
    <row r="69" spans="1:26" x14ac:dyDescent="0.3">
      <c r="A69" s="493" t="s">
        <v>211</v>
      </c>
      <c r="B69" s="493" t="s">
        <v>204</v>
      </c>
      <c r="C69" s="822" t="s">
        <v>884</v>
      </c>
      <c r="D69" s="823">
        <v>3500</v>
      </c>
      <c r="E69" s="828">
        <v>2552.9699999999998</v>
      </c>
      <c r="F69" s="825">
        <v>3500</v>
      </c>
      <c r="G69" s="826">
        <f>F69*1/12</f>
        <v>291.66666666666669</v>
      </c>
      <c r="H69" s="500">
        <v>0</v>
      </c>
      <c r="I69" s="827">
        <f t="shared" si="13"/>
        <v>583.33333333333337</v>
      </c>
      <c r="J69" s="500">
        <v>225.29</v>
      </c>
      <c r="K69" s="834">
        <f t="shared" si="14"/>
        <v>875</v>
      </c>
      <c r="L69" s="500">
        <v>225.29</v>
      </c>
      <c r="M69" s="500"/>
      <c r="N69" s="500"/>
      <c r="O69" s="500"/>
      <c r="P69" s="500"/>
      <c r="Q69" s="500"/>
      <c r="R69" s="500"/>
      <c r="S69" s="500"/>
      <c r="T69" s="500"/>
      <c r="U69" s="500"/>
      <c r="V69" s="500"/>
      <c r="W69" s="500"/>
      <c r="X69" s="500"/>
    </row>
    <row r="70" spans="1:26" s="420" customFormat="1" x14ac:dyDescent="0.3">
      <c r="A70" s="501" t="s">
        <v>885</v>
      </c>
      <c r="B70" s="501"/>
      <c r="C70" s="829" t="s">
        <v>886</v>
      </c>
      <c r="D70" s="830"/>
      <c r="E70" s="831"/>
      <c r="F70" s="832"/>
      <c r="G70" s="832"/>
      <c r="H70" s="510"/>
      <c r="I70" s="510"/>
      <c r="J70" s="511"/>
      <c r="K70" s="511"/>
      <c r="L70" s="511"/>
      <c r="M70" s="511"/>
      <c r="N70" s="511"/>
      <c r="O70" s="511"/>
      <c r="P70" s="511"/>
      <c r="Q70" s="511"/>
      <c r="R70" s="511"/>
      <c r="S70" s="511"/>
      <c r="T70" s="507"/>
      <c r="U70" s="507"/>
      <c r="V70" s="507"/>
      <c r="W70" s="507"/>
      <c r="X70" s="507"/>
      <c r="Y70" s="418"/>
      <c r="Z70" s="419"/>
    </row>
    <row r="71" spans="1:26" x14ac:dyDescent="0.3">
      <c r="A71" s="493" t="s">
        <v>225</v>
      </c>
      <c r="B71" s="493" t="s">
        <v>1309</v>
      </c>
      <c r="C71" s="822" t="s">
        <v>887</v>
      </c>
      <c r="D71" s="823">
        <v>500</v>
      </c>
      <c r="E71" s="828">
        <v>2053.25</v>
      </c>
      <c r="F71" s="825">
        <v>500</v>
      </c>
      <c r="G71" s="826">
        <f>F71*1/12</f>
        <v>41.666666666666664</v>
      </c>
      <c r="H71" s="498">
        <v>0</v>
      </c>
      <c r="I71" s="827">
        <f t="shared" si="13"/>
        <v>83.333333333333329</v>
      </c>
      <c r="J71" s="500">
        <v>0</v>
      </c>
      <c r="K71" s="834">
        <f t="shared" si="14"/>
        <v>125</v>
      </c>
      <c r="L71" s="500">
        <v>0</v>
      </c>
      <c r="M71" s="500"/>
      <c r="N71" s="508"/>
      <c r="O71" s="508"/>
      <c r="P71" s="508"/>
      <c r="Q71" s="508"/>
      <c r="R71" s="508"/>
      <c r="S71" s="508"/>
      <c r="T71" s="508"/>
      <c r="U71" s="508"/>
      <c r="V71" s="508"/>
      <c r="W71" s="508"/>
      <c r="X71" s="500"/>
    </row>
    <row r="72" spans="1:26" x14ac:dyDescent="0.3">
      <c r="A72" s="493" t="s">
        <v>888</v>
      </c>
      <c r="B72" s="493" t="s">
        <v>1309</v>
      </c>
      <c r="C72" s="822" t="s">
        <v>889</v>
      </c>
      <c r="D72" s="823">
        <v>500</v>
      </c>
      <c r="E72" s="828">
        <v>0</v>
      </c>
      <c r="F72" s="825">
        <v>500</v>
      </c>
      <c r="G72" s="826">
        <f>F72*1/12</f>
        <v>41.666666666666664</v>
      </c>
      <c r="H72" s="498">
        <v>0</v>
      </c>
      <c r="I72" s="827">
        <f t="shared" si="13"/>
        <v>83.333333333333329</v>
      </c>
      <c r="J72" s="500">
        <v>0</v>
      </c>
      <c r="K72" s="834">
        <f t="shared" si="14"/>
        <v>125</v>
      </c>
      <c r="L72" s="500">
        <v>0</v>
      </c>
      <c r="M72" s="500"/>
      <c r="N72" s="500"/>
      <c r="O72" s="500"/>
      <c r="P72" s="500"/>
      <c r="Q72" s="500"/>
      <c r="R72" s="500"/>
      <c r="S72" s="500"/>
      <c r="T72" s="500"/>
      <c r="U72" s="500"/>
      <c r="V72" s="500"/>
      <c r="W72" s="500"/>
      <c r="X72" s="500"/>
    </row>
    <row r="73" spans="1:26" x14ac:dyDescent="0.3">
      <c r="A73" s="493" t="s">
        <v>890</v>
      </c>
      <c r="B73" s="493" t="s">
        <v>1309</v>
      </c>
      <c r="C73" s="822" t="s">
        <v>891</v>
      </c>
      <c r="D73" s="823">
        <v>200</v>
      </c>
      <c r="E73" s="828">
        <v>0</v>
      </c>
      <c r="F73" s="825">
        <v>200</v>
      </c>
      <c r="G73" s="826">
        <f>F73*1/12</f>
        <v>16.666666666666668</v>
      </c>
      <c r="H73" s="498">
        <v>0</v>
      </c>
      <c r="I73" s="827">
        <f t="shared" si="13"/>
        <v>33.333333333333336</v>
      </c>
      <c r="J73" s="500">
        <v>0</v>
      </c>
      <c r="K73" s="834">
        <f t="shared" si="14"/>
        <v>50</v>
      </c>
      <c r="L73" s="500">
        <v>0</v>
      </c>
      <c r="M73" s="500"/>
      <c r="N73" s="500"/>
      <c r="O73" s="500"/>
      <c r="P73" s="500"/>
      <c r="Q73" s="500"/>
      <c r="R73" s="500"/>
      <c r="S73" s="500"/>
      <c r="T73" s="500"/>
      <c r="U73" s="500"/>
      <c r="V73" s="500"/>
      <c r="W73" s="500"/>
      <c r="X73" s="500"/>
    </row>
    <row r="74" spans="1:26" s="420" customFormat="1" x14ac:dyDescent="0.3">
      <c r="A74" s="501" t="s">
        <v>892</v>
      </c>
      <c r="B74" s="501"/>
      <c r="C74" s="829" t="s">
        <v>893</v>
      </c>
      <c r="D74" s="830"/>
      <c r="E74" s="831"/>
      <c r="F74" s="832"/>
      <c r="G74" s="832"/>
      <c r="H74" s="510"/>
      <c r="I74" s="510"/>
      <c r="J74" s="511"/>
      <c r="K74" s="511"/>
      <c r="L74" s="511"/>
      <c r="M74" s="511"/>
      <c r="N74" s="511"/>
      <c r="O74" s="511"/>
      <c r="P74" s="511"/>
      <c r="Q74" s="511"/>
      <c r="R74" s="511"/>
      <c r="S74" s="511"/>
      <c r="T74" s="507"/>
      <c r="U74" s="507"/>
      <c r="V74" s="507"/>
      <c r="W74" s="507"/>
      <c r="X74" s="507"/>
      <c r="Y74" s="418"/>
      <c r="Z74" s="419"/>
    </row>
    <row r="75" spans="1:26" x14ac:dyDescent="0.3">
      <c r="A75" s="493" t="s">
        <v>894</v>
      </c>
      <c r="B75" s="493" t="s">
        <v>207</v>
      </c>
      <c r="C75" s="822" t="s">
        <v>895</v>
      </c>
      <c r="D75" s="823">
        <v>14000</v>
      </c>
      <c r="E75" s="824">
        <v>14427.94</v>
      </c>
      <c r="F75" s="825">
        <v>14000</v>
      </c>
      <c r="G75" s="826">
        <f>F75*1/12</f>
        <v>1166.6666666666667</v>
      </c>
      <c r="H75" s="500">
        <v>897.26</v>
      </c>
      <c r="I75" s="827">
        <f t="shared" si="13"/>
        <v>2333.3333333333335</v>
      </c>
      <c r="J75" s="500">
        <v>1870.81</v>
      </c>
      <c r="K75" s="834">
        <f t="shared" si="14"/>
        <v>3500</v>
      </c>
      <c r="L75" s="500">
        <v>1870.81</v>
      </c>
      <c r="M75" s="500"/>
      <c r="N75" s="500"/>
      <c r="O75" s="500"/>
      <c r="P75" s="500"/>
      <c r="Q75" s="500"/>
      <c r="R75" s="500"/>
      <c r="S75" s="500"/>
      <c r="T75" s="500"/>
      <c r="U75" s="500"/>
      <c r="V75" s="500"/>
      <c r="W75" s="508"/>
      <c r="X75" s="834"/>
    </row>
    <row r="76" spans="1:26" x14ac:dyDescent="0.3">
      <c r="A76" s="493" t="s">
        <v>228</v>
      </c>
      <c r="B76" s="493" t="s">
        <v>213</v>
      </c>
      <c r="C76" s="822" t="s">
        <v>896</v>
      </c>
      <c r="D76" s="823">
        <v>500</v>
      </c>
      <c r="E76" s="828">
        <v>125.85</v>
      </c>
      <c r="F76" s="825">
        <v>500</v>
      </c>
      <c r="G76" s="826">
        <f>F76*1/12</f>
        <v>41.666666666666664</v>
      </c>
      <c r="H76" s="500">
        <v>0</v>
      </c>
      <c r="I76" s="827">
        <f t="shared" si="13"/>
        <v>83.333333333333329</v>
      </c>
      <c r="J76" s="500">
        <v>0</v>
      </c>
      <c r="K76" s="834">
        <f t="shared" si="14"/>
        <v>125</v>
      </c>
      <c r="L76" s="500">
        <v>0</v>
      </c>
      <c r="M76" s="500"/>
      <c r="N76" s="500"/>
      <c r="O76" s="500"/>
      <c r="P76" s="500"/>
      <c r="Q76" s="500"/>
      <c r="R76" s="500"/>
      <c r="S76" s="500"/>
      <c r="T76" s="500"/>
      <c r="U76" s="500"/>
      <c r="V76" s="500"/>
      <c r="W76" s="500"/>
      <c r="X76" s="834"/>
    </row>
    <row r="77" spans="1:26" x14ac:dyDescent="0.3">
      <c r="A77" s="493" t="s">
        <v>897</v>
      </c>
      <c r="B77" s="493" t="s">
        <v>207</v>
      </c>
      <c r="C77" s="822" t="s">
        <v>898</v>
      </c>
      <c r="D77" s="823">
        <v>500</v>
      </c>
      <c r="E77" s="828">
        <v>207.16</v>
      </c>
      <c r="F77" s="825">
        <v>500</v>
      </c>
      <c r="G77" s="826">
        <f>F77*1/12</f>
        <v>41.666666666666664</v>
      </c>
      <c r="H77" s="500">
        <v>0</v>
      </c>
      <c r="I77" s="827">
        <f t="shared" si="13"/>
        <v>83.333333333333329</v>
      </c>
      <c r="J77" s="500">
        <v>0</v>
      </c>
      <c r="K77" s="834">
        <f t="shared" si="14"/>
        <v>125</v>
      </c>
      <c r="L77" s="500">
        <v>0</v>
      </c>
      <c r="M77" s="500"/>
      <c r="N77" s="500"/>
      <c r="O77" s="500"/>
      <c r="P77" s="500"/>
      <c r="Q77" s="500"/>
      <c r="R77" s="500"/>
      <c r="S77" s="500"/>
      <c r="T77" s="500"/>
      <c r="U77" s="500"/>
      <c r="V77" s="500"/>
      <c r="W77" s="500"/>
      <c r="X77" s="500"/>
    </row>
    <row r="78" spans="1:26" s="420" customFormat="1" x14ac:dyDescent="0.3">
      <c r="A78" s="501" t="s">
        <v>899</v>
      </c>
      <c r="B78" s="501"/>
      <c r="C78" s="829" t="s">
        <v>900</v>
      </c>
      <c r="D78" s="830"/>
      <c r="E78" s="831"/>
      <c r="F78" s="832"/>
      <c r="G78" s="832"/>
      <c r="H78" s="510"/>
      <c r="I78" s="510"/>
      <c r="J78" s="511"/>
      <c r="K78" s="511"/>
      <c r="L78" s="511"/>
      <c r="M78" s="511"/>
      <c r="N78" s="511"/>
      <c r="O78" s="511"/>
      <c r="P78" s="511"/>
      <c r="Q78" s="511"/>
      <c r="R78" s="511"/>
      <c r="S78" s="511"/>
      <c r="T78" s="507"/>
      <c r="U78" s="507"/>
      <c r="V78" s="507"/>
      <c r="W78" s="507"/>
      <c r="X78" s="507"/>
      <c r="Y78" s="418"/>
      <c r="Z78" s="419"/>
    </row>
    <row r="79" spans="1:26" x14ac:dyDescent="0.3">
      <c r="A79" s="493" t="s">
        <v>901</v>
      </c>
      <c r="B79" s="493" t="s">
        <v>1310</v>
      </c>
      <c r="C79" s="822" t="s">
        <v>902</v>
      </c>
      <c r="D79" s="823">
        <v>500</v>
      </c>
      <c r="E79" s="828">
        <v>490.89</v>
      </c>
      <c r="F79" s="825">
        <v>500</v>
      </c>
      <c r="G79" s="826">
        <f>F79*1/12</f>
        <v>41.666666666666664</v>
      </c>
      <c r="H79" s="498">
        <v>0</v>
      </c>
      <c r="I79" s="827">
        <f t="shared" si="13"/>
        <v>83.333333333333329</v>
      </c>
      <c r="J79" s="500">
        <v>0</v>
      </c>
      <c r="K79" s="834">
        <f t="shared" si="14"/>
        <v>125</v>
      </c>
      <c r="L79" s="500">
        <v>490.89</v>
      </c>
      <c r="M79" s="500"/>
      <c r="N79" s="500"/>
      <c r="O79" s="500"/>
      <c r="P79" s="500"/>
      <c r="Q79" s="500"/>
      <c r="R79" s="500"/>
      <c r="S79" s="500"/>
      <c r="T79" s="500"/>
      <c r="U79" s="500"/>
      <c r="V79" s="500"/>
      <c r="W79" s="500"/>
      <c r="X79" s="500"/>
    </row>
    <row r="80" spans="1:26" x14ac:dyDescent="0.3">
      <c r="A80" s="493" t="s">
        <v>903</v>
      </c>
      <c r="B80" s="493" t="s">
        <v>1310</v>
      </c>
      <c r="C80" s="822" t="s">
        <v>904</v>
      </c>
      <c r="D80" s="823">
        <v>35</v>
      </c>
      <c r="E80" s="828">
        <v>0</v>
      </c>
      <c r="F80" s="825">
        <v>35</v>
      </c>
      <c r="G80" s="826">
        <f>F80*1/12</f>
        <v>2.9166666666666665</v>
      </c>
      <c r="H80" s="498">
        <v>0</v>
      </c>
      <c r="I80" s="827">
        <f t="shared" si="13"/>
        <v>5.833333333333333</v>
      </c>
      <c r="J80" s="500">
        <v>0</v>
      </c>
      <c r="K80" s="834">
        <f t="shared" si="14"/>
        <v>8.75</v>
      </c>
      <c r="L80" s="500">
        <v>0</v>
      </c>
      <c r="M80" s="500"/>
      <c r="N80" s="500"/>
      <c r="O80" s="500"/>
      <c r="P80" s="500"/>
      <c r="Q80" s="500"/>
      <c r="R80" s="500"/>
      <c r="S80" s="500"/>
      <c r="T80" s="500"/>
      <c r="U80" s="500"/>
      <c r="V80" s="500"/>
      <c r="W80" s="500"/>
      <c r="X80" s="500"/>
    </row>
    <row r="81" spans="1:26" s="420" customFormat="1" x14ac:dyDescent="0.3">
      <c r="A81" s="501" t="s">
        <v>905</v>
      </c>
      <c r="B81" s="501"/>
      <c r="C81" s="829" t="s">
        <v>906</v>
      </c>
      <c r="D81" s="830"/>
      <c r="E81" s="831"/>
      <c r="F81" s="832"/>
      <c r="G81" s="832"/>
      <c r="H81" s="510"/>
      <c r="I81" s="510"/>
      <c r="J81" s="511"/>
      <c r="K81" s="511"/>
      <c r="L81" s="511"/>
      <c r="M81" s="511"/>
      <c r="N81" s="511"/>
      <c r="O81" s="511"/>
      <c r="P81" s="511"/>
      <c r="Q81" s="511"/>
      <c r="R81" s="511"/>
      <c r="S81" s="511"/>
      <c r="T81" s="507"/>
      <c r="U81" s="507"/>
      <c r="V81" s="507"/>
      <c r="W81" s="507"/>
      <c r="X81" s="507"/>
      <c r="Y81" s="418"/>
      <c r="Z81" s="419"/>
    </row>
    <row r="82" spans="1:26" x14ac:dyDescent="0.3">
      <c r="A82" s="493" t="s">
        <v>183</v>
      </c>
      <c r="B82" s="493" t="s">
        <v>1311</v>
      </c>
      <c r="C82" s="822" t="s">
        <v>907</v>
      </c>
      <c r="D82" s="823">
        <v>1500</v>
      </c>
      <c r="E82" s="828">
        <v>0</v>
      </c>
      <c r="F82" s="825">
        <v>1500</v>
      </c>
      <c r="G82" s="826">
        <f>F82*1/12</f>
        <v>125</v>
      </c>
      <c r="H82" s="498">
        <v>104.86</v>
      </c>
      <c r="I82" s="827">
        <f t="shared" si="13"/>
        <v>250</v>
      </c>
      <c r="J82" s="500">
        <v>104.86</v>
      </c>
      <c r="K82" s="834">
        <f t="shared" si="14"/>
        <v>375</v>
      </c>
      <c r="L82" s="500">
        <v>104.86</v>
      </c>
      <c r="M82" s="500"/>
      <c r="N82" s="500"/>
      <c r="O82" s="500"/>
      <c r="P82" s="500"/>
      <c r="Q82" s="500"/>
      <c r="R82" s="500"/>
      <c r="S82" s="500"/>
      <c r="T82" s="500"/>
      <c r="U82" s="500"/>
      <c r="V82" s="500"/>
      <c r="W82" s="500"/>
      <c r="X82" s="500"/>
    </row>
    <row r="83" spans="1:26" x14ac:dyDescent="0.3">
      <c r="A83" s="493" t="s">
        <v>188</v>
      </c>
      <c r="B83" s="493" t="s">
        <v>1311</v>
      </c>
      <c r="C83" s="822" t="s">
        <v>908</v>
      </c>
      <c r="D83" s="823">
        <v>1500</v>
      </c>
      <c r="E83" s="828">
        <v>0</v>
      </c>
      <c r="F83" s="825">
        <v>1500</v>
      </c>
      <c r="G83" s="826">
        <f>F83*1/12</f>
        <v>125</v>
      </c>
      <c r="H83" s="498">
        <v>0</v>
      </c>
      <c r="I83" s="827">
        <f t="shared" si="13"/>
        <v>250</v>
      </c>
      <c r="J83" s="500">
        <v>0</v>
      </c>
      <c r="K83" s="834">
        <f t="shared" si="14"/>
        <v>375</v>
      </c>
      <c r="L83" s="500">
        <v>0</v>
      </c>
      <c r="M83" s="500"/>
      <c r="N83" s="500"/>
      <c r="O83" s="500"/>
      <c r="P83" s="500"/>
      <c r="Q83" s="500"/>
      <c r="R83" s="500"/>
      <c r="S83" s="500"/>
      <c r="T83" s="500"/>
      <c r="U83" s="500"/>
      <c r="V83" s="500"/>
      <c r="W83" s="500"/>
      <c r="X83" s="500"/>
    </row>
    <row r="84" spans="1:26" x14ac:dyDescent="0.3">
      <c r="A84" s="493" t="s">
        <v>186</v>
      </c>
      <c r="B84" s="493" t="s">
        <v>1311</v>
      </c>
      <c r="C84" s="822" t="s">
        <v>909</v>
      </c>
      <c r="D84" s="823">
        <v>1000</v>
      </c>
      <c r="E84" s="828">
        <v>199</v>
      </c>
      <c r="F84" s="825">
        <v>1000</v>
      </c>
      <c r="G84" s="826">
        <f>F84*1/12</f>
        <v>83.333333333333329</v>
      </c>
      <c r="H84" s="498">
        <v>60</v>
      </c>
      <c r="I84" s="827">
        <f t="shared" si="13"/>
        <v>166.66666666666666</v>
      </c>
      <c r="J84" s="500">
        <v>150</v>
      </c>
      <c r="K84" s="834">
        <f t="shared" si="14"/>
        <v>250</v>
      </c>
      <c r="L84" s="500">
        <v>150</v>
      </c>
      <c r="M84" s="500"/>
      <c r="N84" s="500"/>
      <c r="O84" s="500"/>
      <c r="P84" s="500"/>
      <c r="Q84" s="500"/>
      <c r="R84" s="500"/>
      <c r="S84" s="500"/>
      <c r="T84" s="500"/>
      <c r="U84" s="500"/>
      <c r="V84" s="500"/>
      <c r="W84" s="500"/>
      <c r="X84" s="500"/>
    </row>
    <row r="85" spans="1:26" s="420" customFormat="1" x14ac:dyDescent="0.3">
      <c r="A85" s="501" t="s">
        <v>910</v>
      </c>
      <c r="B85" s="501"/>
      <c r="C85" s="829" t="s">
        <v>911</v>
      </c>
      <c r="D85" s="830"/>
      <c r="E85" s="833"/>
      <c r="F85" s="832"/>
      <c r="G85" s="832"/>
      <c r="H85" s="510"/>
      <c r="I85" s="510"/>
      <c r="J85" s="511"/>
      <c r="K85" s="511"/>
      <c r="L85" s="511"/>
      <c r="M85" s="511"/>
      <c r="N85" s="511"/>
      <c r="O85" s="511"/>
      <c r="P85" s="511"/>
      <c r="Q85" s="511"/>
      <c r="R85" s="511"/>
      <c r="S85" s="511"/>
      <c r="T85" s="507"/>
      <c r="U85" s="507"/>
      <c r="V85" s="511"/>
      <c r="W85" s="511"/>
      <c r="X85" s="511"/>
      <c r="Y85" s="418"/>
      <c r="Z85" s="419"/>
    </row>
    <row r="86" spans="1:26" x14ac:dyDescent="0.3">
      <c r="A86" s="493" t="s">
        <v>912</v>
      </c>
      <c r="B86" s="493" t="s">
        <v>912</v>
      </c>
      <c r="C86" s="822" t="s">
        <v>913</v>
      </c>
      <c r="D86" s="823">
        <v>10000</v>
      </c>
      <c r="E86" s="828">
        <v>7761.38</v>
      </c>
      <c r="F86" s="825">
        <v>10000</v>
      </c>
      <c r="G86" s="826">
        <f>F86*1/12</f>
        <v>833.33333333333337</v>
      </c>
      <c r="H86" s="500">
        <v>0</v>
      </c>
      <c r="I86" s="827">
        <f t="shared" si="13"/>
        <v>1666.6666666666667</v>
      </c>
      <c r="J86" s="500">
        <v>8022.39</v>
      </c>
      <c r="K86" s="834">
        <f t="shared" si="14"/>
        <v>2500</v>
      </c>
      <c r="L86" s="500">
        <v>8022.39</v>
      </c>
      <c r="M86" s="500"/>
      <c r="N86" s="500"/>
      <c r="O86" s="500"/>
      <c r="P86" s="500"/>
      <c r="Q86" s="500"/>
      <c r="R86" s="500"/>
      <c r="S86" s="500"/>
      <c r="T86" s="500"/>
      <c r="U86" s="500"/>
      <c r="V86" s="500"/>
      <c r="W86" s="500"/>
      <c r="X86" s="500"/>
    </row>
    <row r="87" spans="1:26" x14ac:dyDescent="0.3">
      <c r="A87" s="493" t="s">
        <v>411</v>
      </c>
      <c r="B87" s="493" t="s">
        <v>411</v>
      </c>
      <c r="C87" s="822" t="s">
        <v>914</v>
      </c>
      <c r="D87" s="823">
        <v>5000</v>
      </c>
      <c r="E87" s="828">
        <v>3663.15</v>
      </c>
      <c r="F87" s="825">
        <v>5000</v>
      </c>
      <c r="G87" s="826">
        <f>F87*1/12</f>
        <v>416.66666666666669</v>
      </c>
      <c r="H87" s="498">
        <v>273.11</v>
      </c>
      <c r="I87" s="827">
        <f t="shared" si="13"/>
        <v>833.33333333333337</v>
      </c>
      <c r="J87" s="500">
        <v>546.22</v>
      </c>
      <c r="K87" s="834">
        <f t="shared" si="14"/>
        <v>1250</v>
      </c>
      <c r="L87" s="500">
        <v>803.26</v>
      </c>
      <c r="M87" s="500"/>
      <c r="N87" s="500"/>
      <c r="O87" s="500"/>
      <c r="P87" s="500"/>
      <c r="Q87" s="500"/>
      <c r="R87" s="500"/>
      <c r="S87" s="500"/>
      <c r="T87" s="500"/>
      <c r="U87" s="500"/>
      <c r="V87" s="500"/>
      <c r="W87" s="500"/>
      <c r="X87" s="500"/>
    </row>
    <row r="88" spans="1:26" x14ac:dyDescent="0.3">
      <c r="A88" s="493" t="s">
        <v>414</v>
      </c>
      <c r="B88" s="493" t="s">
        <v>912</v>
      </c>
      <c r="C88" s="822" t="s">
        <v>915</v>
      </c>
      <c r="D88" s="823">
        <v>500</v>
      </c>
      <c r="E88" s="824">
        <v>1517.25</v>
      </c>
      <c r="F88" s="825">
        <v>500</v>
      </c>
      <c r="G88" s="826">
        <f>F88*1/12</f>
        <v>41.666666666666664</v>
      </c>
      <c r="H88" s="498">
        <v>1071</v>
      </c>
      <c r="I88" s="827">
        <f t="shared" si="13"/>
        <v>83.333333333333329</v>
      </c>
      <c r="J88" s="500">
        <v>1071</v>
      </c>
      <c r="K88" s="834">
        <f t="shared" si="14"/>
        <v>125</v>
      </c>
      <c r="L88" s="500">
        <v>1071</v>
      </c>
      <c r="M88" s="500"/>
      <c r="N88" s="500"/>
      <c r="O88" s="500"/>
      <c r="P88" s="500"/>
      <c r="Q88" s="500"/>
      <c r="R88" s="500"/>
      <c r="S88" s="500"/>
      <c r="T88" s="500"/>
      <c r="U88" s="508"/>
      <c r="V88" s="508"/>
      <c r="W88" s="508"/>
      <c r="X88" s="500"/>
    </row>
    <row r="89" spans="1:26" s="420" customFormat="1" x14ac:dyDescent="0.3">
      <c r="A89" s="501" t="s">
        <v>916</v>
      </c>
      <c r="B89" s="501"/>
      <c r="C89" s="829" t="s">
        <v>917</v>
      </c>
      <c r="D89" s="830"/>
      <c r="E89" s="833"/>
      <c r="F89" s="832"/>
      <c r="G89" s="832"/>
      <c r="H89" s="510"/>
      <c r="I89" s="510"/>
      <c r="J89" s="511"/>
      <c r="K89" s="511"/>
      <c r="L89" s="511"/>
      <c r="M89" s="511"/>
      <c r="N89" s="511"/>
      <c r="O89" s="511"/>
      <c r="P89" s="511"/>
      <c r="Q89" s="511"/>
      <c r="R89" s="511"/>
      <c r="S89" s="511"/>
      <c r="T89" s="507"/>
      <c r="U89" s="507"/>
      <c r="V89" s="511"/>
      <c r="W89" s="511"/>
      <c r="X89" s="511"/>
      <c r="Y89" s="418"/>
      <c r="Z89" s="419"/>
    </row>
    <row r="90" spans="1:26" s="420" customFormat="1" x14ac:dyDescent="0.3">
      <c r="A90" s="501" t="s">
        <v>918</v>
      </c>
      <c r="B90" s="501"/>
      <c r="C90" s="829" t="s">
        <v>919</v>
      </c>
      <c r="D90" s="830"/>
      <c r="E90" s="833"/>
      <c r="F90" s="832"/>
      <c r="G90" s="832"/>
      <c r="H90" s="510"/>
      <c r="I90" s="510"/>
      <c r="J90" s="511"/>
      <c r="K90" s="511"/>
      <c r="L90" s="511"/>
      <c r="M90" s="511"/>
      <c r="N90" s="511"/>
      <c r="O90" s="511"/>
      <c r="P90" s="511"/>
      <c r="Q90" s="511"/>
      <c r="R90" s="511"/>
      <c r="S90" s="511"/>
      <c r="T90" s="507"/>
      <c r="U90" s="507"/>
      <c r="V90" s="511"/>
      <c r="W90" s="511"/>
      <c r="X90" s="511"/>
      <c r="Y90" s="418"/>
      <c r="Z90" s="419"/>
    </row>
    <row r="91" spans="1:26" x14ac:dyDescent="0.3">
      <c r="A91" s="493" t="s">
        <v>920</v>
      </c>
      <c r="B91" s="493" t="s">
        <v>232</v>
      </c>
      <c r="C91" s="822" t="s">
        <v>921</v>
      </c>
      <c r="D91" s="823">
        <v>300</v>
      </c>
      <c r="E91" s="828">
        <v>0</v>
      </c>
      <c r="F91" s="825">
        <v>300</v>
      </c>
      <c r="G91" s="826">
        <f>F91*1/12</f>
        <v>25</v>
      </c>
      <c r="H91" s="498">
        <v>0</v>
      </c>
      <c r="I91" s="827">
        <f t="shared" si="13"/>
        <v>50</v>
      </c>
      <c r="J91" s="500">
        <v>0</v>
      </c>
      <c r="K91" s="834">
        <f>F91*3/12</f>
        <v>75</v>
      </c>
      <c r="L91" s="500">
        <v>0</v>
      </c>
      <c r="M91" s="500"/>
      <c r="N91" s="500"/>
      <c r="O91" s="500"/>
      <c r="P91" s="500"/>
      <c r="Q91" s="500"/>
      <c r="R91" s="500"/>
      <c r="S91" s="500"/>
      <c r="T91" s="500"/>
      <c r="U91" s="500"/>
      <c r="V91" s="500"/>
      <c r="W91" s="500"/>
      <c r="X91" s="500"/>
    </row>
    <row r="92" spans="1:26" x14ac:dyDescent="0.3">
      <c r="A92" s="493" t="s">
        <v>922</v>
      </c>
      <c r="B92" s="493" t="s">
        <v>232</v>
      </c>
      <c r="C92" s="822" t="s">
        <v>923</v>
      </c>
      <c r="D92" s="823">
        <v>0</v>
      </c>
      <c r="E92" s="828">
        <v>0</v>
      </c>
      <c r="F92" s="825">
        <v>0</v>
      </c>
      <c r="G92" s="826">
        <f>F92*1/12</f>
        <v>0</v>
      </c>
      <c r="H92" s="498">
        <v>0</v>
      </c>
      <c r="I92" s="827">
        <f t="shared" si="13"/>
        <v>0</v>
      </c>
      <c r="J92" s="500">
        <v>0</v>
      </c>
      <c r="K92" s="834">
        <f t="shared" ref="K92:K117" si="15">F92*3/12</f>
        <v>0</v>
      </c>
      <c r="L92" s="500">
        <v>0</v>
      </c>
      <c r="M92" s="500"/>
      <c r="N92" s="500"/>
      <c r="O92" s="500"/>
      <c r="P92" s="500"/>
      <c r="Q92" s="500"/>
      <c r="R92" s="500"/>
      <c r="S92" s="500"/>
      <c r="T92" s="500"/>
      <c r="U92" s="500"/>
      <c r="V92" s="500"/>
      <c r="W92" s="500"/>
      <c r="X92" s="500"/>
    </row>
    <row r="93" spans="1:26" x14ac:dyDescent="0.3">
      <c r="A93" s="493" t="s">
        <v>924</v>
      </c>
      <c r="B93" s="493" t="s">
        <v>232</v>
      </c>
      <c r="C93" s="822" t="s">
        <v>925</v>
      </c>
      <c r="D93" s="823">
        <v>100</v>
      </c>
      <c r="E93" s="828">
        <v>0</v>
      </c>
      <c r="F93" s="825">
        <v>100</v>
      </c>
      <c r="G93" s="826">
        <f>F93*1/12</f>
        <v>8.3333333333333339</v>
      </c>
      <c r="H93" s="498">
        <v>0</v>
      </c>
      <c r="I93" s="827">
        <f t="shared" si="13"/>
        <v>16.666666666666668</v>
      </c>
      <c r="J93" s="500">
        <v>0</v>
      </c>
      <c r="K93" s="834">
        <f t="shared" si="15"/>
        <v>25</v>
      </c>
      <c r="L93" s="500">
        <v>0</v>
      </c>
      <c r="M93" s="500"/>
      <c r="N93" s="500"/>
      <c r="O93" s="500"/>
      <c r="P93" s="500"/>
      <c r="Q93" s="500"/>
      <c r="R93" s="500"/>
      <c r="S93" s="500"/>
      <c r="T93" s="500"/>
      <c r="U93" s="500"/>
      <c r="V93" s="500"/>
      <c r="W93" s="500"/>
      <c r="X93" s="500"/>
    </row>
    <row r="94" spans="1:26" s="420" customFormat="1" x14ac:dyDescent="0.3">
      <c r="A94" s="501" t="s">
        <v>926</v>
      </c>
      <c r="B94" s="501"/>
      <c r="C94" s="829" t="s">
        <v>927</v>
      </c>
      <c r="D94" s="830"/>
      <c r="E94" s="833"/>
      <c r="F94" s="832"/>
      <c r="G94" s="832"/>
      <c r="H94" s="510"/>
      <c r="I94" s="510"/>
      <c r="J94" s="511"/>
      <c r="K94" s="511"/>
      <c r="L94" s="511"/>
      <c r="M94" s="511"/>
      <c r="N94" s="511"/>
      <c r="O94" s="511"/>
      <c r="P94" s="511"/>
      <c r="Q94" s="511"/>
      <c r="R94" s="511"/>
      <c r="S94" s="511"/>
      <c r="T94" s="507"/>
      <c r="U94" s="507"/>
      <c r="V94" s="511"/>
      <c r="W94" s="511"/>
      <c r="X94" s="511"/>
      <c r="Y94" s="418"/>
      <c r="Z94" s="419"/>
    </row>
    <row r="95" spans="1:26" x14ac:dyDescent="0.3">
      <c r="A95" s="493" t="s">
        <v>928</v>
      </c>
      <c r="B95" s="493" t="s">
        <v>928</v>
      </c>
      <c r="C95" s="822" t="s">
        <v>929</v>
      </c>
      <c r="D95" s="823">
        <v>25000</v>
      </c>
      <c r="E95" s="828">
        <v>6559.06</v>
      </c>
      <c r="F95" s="825">
        <v>25000</v>
      </c>
      <c r="G95" s="826">
        <f t="shared" ref="G95:G103" si="16">F95*1/12</f>
        <v>2083.3333333333335</v>
      </c>
      <c r="H95" s="500">
        <v>500</v>
      </c>
      <c r="I95" s="827">
        <f t="shared" si="13"/>
        <v>4166.666666666667</v>
      </c>
      <c r="J95" s="500">
        <v>757.65</v>
      </c>
      <c r="K95" s="834">
        <f t="shared" si="15"/>
        <v>6250</v>
      </c>
      <c r="L95" s="500">
        <v>1582.96</v>
      </c>
      <c r="M95" s="500"/>
      <c r="N95" s="500"/>
      <c r="O95" s="500"/>
      <c r="P95" s="500"/>
      <c r="Q95" s="500"/>
      <c r="R95" s="500"/>
      <c r="S95" s="500"/>
      <c r="T95" s="500"/>
      <c r="U95" s="500"/>
      <c r="V95" s="500"/>
      <c r="W95" s="500"/>
      <c r="X95" s="500"/>
    </row>
    <row r="96" spans="1:26" x14ac:dyDescent="0.3">
      <c r="A96" s="493" t="s">
        <v>930</v>
      </c>
      <c r="B96" s="493" t="s">
        <v>930</v>
      </c>
      <c r="C96" s="822" t="s">
        <v>931</v>
      </c>
      <c r="D96" s="823">
        <v>2500</v>
      </c>
      <c r="E96" s="828">
        <v>1542.54</v>
      </c>
      <c r="F96" s="825">
        <v>2500</v>
      </c>
      <c r="G96" s="826">
        <f t="shared" si="16"/>
        <v>208.33333333333334</v>
      </c>
      <c r="H96" s="500">
        <v>0</v>
      </c>
      <c r="I96" s="827">
        <f t="shared" si="13"/>
        <v>416.66666666666669</v>
      </c>
      <c r="J96" s="500">
        <v>0</v>
      </c>
      <c r="K96" s="834">
        <f t="shared" si="15"/>
        <v>625</v>
      </c>
      <c r="L96" s="500">
        <v>0</v>
      </c>
      <c r="M96" s="500"/>
      <c r="N96" s="500"/>
      <c r="O96" s="500"/>
      <c r="P96" s="500"/>
      <c r="Q96" s="500"/>
      <c r="R96" s="500"/>
      <c r="S96" s="500"/>
      <c r="T96" s="500"/>
      <c r="U96" s="500"/>
      <c r="V96" s="500"/>
      <c r="W96" s="500"/>
      <c r="X96" s="500"/>
    </row>
    <row r="97" spans="1:26" x14ac:dyDescent="0.3">
      <c r="A97" s="493" t="s">
        <v>932</v>
      </c>
      <c r="B97" s="493" t="s">
        <v>928</v>
      </c>
      <c r="C97" s="822" t="s">
        <v>933</v>
      </c>
      <c r="D97" s="823">
        <v>6000</v>
      </c>
      <c r="E97" s="828">
        <v>2905.03</v>
      </c>
      <c r="F97" s="825">
        <v>6000</v>
      </c>
      <c r="G97" s="826">
        <f t="shared" si="16"/>
        <v>500</v>
      </c>
      <c r="H97" s="500">
        <v>0</v>
      </c>
      <c r="I97" s="827">
        <f t="shared" si="13"/>
        <v>1000</v>
      </c>
      <c r="J97" s="500">
        <v>1412.8</v>
      </c>
      <c r="K97" s="834">
        <f t="shared" si="15"/>
        <v>1500</v>
      </c>
      <c r="L97" s="500">
        <v>1412.8</v>
      </c>
      <c r="M97" s="500"/>
      <c r="N97" s="500"/>
      <c r="O97" s="500"/>
      <c r="P97" s="500"/>
      <c r="Q97" s="500"/>
      <c r="R97" s="500"/>
      <c r="S97" s="500"/>
      <c r="T97" s="500"/>
      <c r="U97" s="500"/>
      <c r="V97" s="500"/>
      <c r="W97" s="500"/>
      <c r="X97" s="500"/>
    </row>
    <row r="98" spans="1:26" x14ac:dyDescent="0.3">
      <c r="A98" s="493" t="s">
        <v>934</v>
      </c>
      <c r="B98" s="493" t="s">
        <v>928</v>
      </c>
      <c r="C98" s="822" t="s">
        <v>935</v>
      </c>
      <c r="D98" s="823">
        <v>7000</v>
      </c>
      <c r="E98" s="828">
        <v>3180.51</v>
      </c>
      <c r="F98" s="825">
        <v>7000</v>
      </c>
      <c r="G98" s="826">
        <f t="shared" si="16"/>
        <v>583.33333333333337</v>
      </c>
      <c r="H98" s="500">
        <v>0</v>
      </c>
      <c r="I98" s="827">
        <f t="shared" si="13"/>
        <v>1166.6666666666667</v>
      </c>
      <c r="J98" s="500">
        <v>286.89999999999998</v>
      </c>
      <c r="K98" s="834">
        <f t="shared" si="15"/>
        <v>1750</v>
      </c>
      <c r="L98" s="500">
        <v>797.58</v>
      </c>
      <c r="M98" s="500"/>
      <c r="N98" s="500"/>
      <c r="O98" s="500"/>
      <c r="P98" s="500"/>
      <c r="Q98" s="500"/>
      <c r="R98" s="500"/>
      <c r="S98" s="500"/>
      <c r="T98" s="500"/>
      <c r="U98" s="500"/>
      <c r="V98" s="500"/>
      <c r="W98" s="500"/>
      <c r="X98" s="834"/>
    </row>
    <row r="99" spans="1:26" x14ac:dyDescent="0.3">
      <c r="A99" s="839" t="s">
        <v>936</v>
      </c>
      <c r="B99" s="839" t="s">
        <v>930</v>
      </c>
      <c r="C99" s="840" t="s">
        <v>937</v>
      </c>
      <c r="D99" s="841">
        <v>500</v>
      </c>
      <c r="E99" s="828">
        <v>0</v>
      </c>
      <c r="F99" s="842">
        <v>500</v>
      </c>
      <c r="G99" s="843">
        <f t="shared" si="16"/>
        <v>41.666666666666664</v>
      </c>
      <c r="H99" s="844">
        <v>0</v>
      </c>
      <c r="I99" s="845">
        <f t="shared" si="13"/>
        <v>83.333333333333329</v>
      </c>
      <c r="J99" s="846">
        <v>0</v>
      </c>
      <c r="K99" s="847">
        <f t="shared" si="15"/>
        <v>125</v>
      </c>
      <c r="L99" s="846">
        <v>0</v>
      </c>
      <c r="M99" s="846"/>
      <c r="N99" s="846"/>
      <c r="O99" s="846"/>
      <c r="P99" s="846"/>
      <c r="Q99" s="846"/>
      <c r="R99" s="846"/>
      <c r="S99" s="846"/>
      <c r="T99" s="846"/>
      <c r="U99" s="846"/>
      <c r="V99" s="846"/>
      <c r="W99" s="846"/>
      <c r="X99" s="846"/>
    </row>
    <row r="100" spans="1:26" x14ac:dyDescent="0.3">
      <c r="A100" s="848" t="s">
        <v>938</v>
      </c>
      <c r="B100" s="848" t="s">
        <v>928</v>
      </c>
      <c r="C100" s="849" t="s">
        <v>939</v>
      </c>
      <c r="D100" s="850">
        <v>1000</v>
      </c>
      <c r="E100" s="851">
        <v>360</v>
      </c>
      <c r="F100" s="852">
        <v>1000</v>
      </c>
      <c r="G100" s="843">
        <f t="shared" si="16"/>
        <v>83.333333333333329</v>
      </c>
      <c r="H100" s="853">
        <v>0</v>
      </c>
      <c r="I100" s="845">
        <f t="shared" si="13"/>
        <v>166.66666666666666</v>
      </c>
      <c r="J100" s="846">
        <v>160</v>
      </c>
      <c r="K100" s="847">
        <f t="shared" si="15"/>
        <v>250</v>
      </c>
      <c r="L100" s="846">
        <v>352</v>
      </c>
      <c r="M100" s="846"/>
      <c r="N100" s="846"/>
      <c r="O100" s="846"/>
      <c r="P100" s="846"/>
      <c r="Q100" s="846"/>
      <c r="R100" s="846"/>
      <c r="S100" s="846"/>
      <c r="T100" s="846"/>
      <c r="U100" s="846"/>
      <c r="V100" s="846"/>
      <c r="W100" s="846"/>
      <c r="X100" s="846"/>
    </row>
    <row r="101" spans="1:26" x14ac:dyDescent="0.3">
      <c r="A101" s="848" t="s">
        <v>940</v>
      </c>
      <c r="B101" s="848" t="s">
        <v>928</v>
      </c>
      <c r="C101" s="849" t="s">
        <v>941</v>
      </c>
      <c r="D101" s="850">
        <v>500</v>
      </c>
      <c r="E101" s="851">
        <v>482.45</v>
      </c>
      <c r="F101" s="852">
        <v>500</v>
      </c>
      <c r="G101" s="843">
        <f t="shared" si="16"/>
        <v>41.666666666666664</v>
      </c>
      <c r="H101" s="853">
        <v>0</v>
      </c>
      <c r="I101" s="845">
        <f t="shared" si="13"/>
        <v>83.333333333333329</v>
      </c>
      <c r="J101" s="846">
        <v>0</v>
      </c>
      <c r="K101" s="847">
        <f t="shared" si="15"/>
        <v>125</v>
      </c>
      <c r="L101" s="846">
        <v>0</v>
      </c>
      <c r="M101" s="846"/>
      <c r="N101" s="846"/>
      <c r="O101" s="846"/>
      <c r="P101" s="846"/>
      <c r="Q101" s="846"/>
      <c r="R101" s="846"/>
      <c r="S101" s="846"/>
      <c r="T101" s="846"/>
      <c r="U101" s="846"/>
      <c r="V101" s="846"/>
      <c r="W101" s="846"/>
      <c r="X101" s="846"/>
    </row>
    <row r="102" spans="1:26" x14ac:dyDescent="0.3">
      <c r="A102" s="848" t="s">
        <v>942</v>
      </c>
      <c r="B102" s="848" t="s">
        <v>930</v>
      </c>
      <c r="C102" s="849" t="s">
        <v>943</v>
      </c>
      <c r="D102" s="850">
        <v>100</v>
      </c>
      <c r="E102" s="851">
        <v>0</v>
      </c>
      <c r="F102" s="852">
        <v>100</v>
      </c>
      <c r="G102" s="843">
        <f t="shared" si="16"/>
        <v>8.3333333333333339</v>
      </c>
      <c r="H102" s="853">
        <v>0</v>
      </c>
      <c r="I102" s="845">
        <f t="shared" si="13"/>
        <v>16.666666666666668</v>
      </c>
      <c r="J102" s="846">
        <v>0</v>
      </c>
      <c r="K102" s="847">
        <f t="shared" si="15"/>
        <v>25</v>
      </c>
      <c r="L102" s="846">
        <v>0</v>
      </c>
      <c r="M102" s="846"/>
      <c r="N102" s="846"/>
      <c r="O102" s="846"/>
      <c r="P102" s="846"/>
      <c r="Q102" s="846"/>
      <c r="R102" s="846"/>
      <c r="S102" s="846"/>
      <c r="T102" s="846"/>
      <c r="U102" s="846"/>
      <c r="V102" s="846"/>
      <c r="W102" s="846"/>
      <c r="X102" s="846"/>
    </row>
    <row r="103" spans="1:26" x14ac:dyDescent="0.3">
      <c r="A103" s="854" t="s">
        <v>944</v>
      </c>
      <c r="B103" s="854" t="s">
        <v>928</v>
      </c>
      <c r="C103" s="855" t="s">
        <v>945</v>
      </c>
      <c r="D103" s="856">
        <v>250</v>
      </c>
      <c r="E103" s="851">
        <v>0</v>
      </c>
      <c r="F103" s="857">
        <v>250</v>
      </c>
      <c r="G103" s="843">
        <f t="shared" si="16"/>
        <v>20.833333333333332</v>
      </c>
      <c r="H103" s="858">
        <v>0</v>
      </c>
      <c r="I103" s="845">
        <f t="shared" si="13"/>
        <v>41.666666666666664</v>
      </c>
      <c r="J103" s="846">
        <v>0</v>
      </c>
      <c r="K103" s="847">
        <f t="shared" si="15"/>
        <v>62.5</v>
      </c>
      <c r="L103" s="846">
        <v>0</v>
      </c>
      <c r="M103" s="846"/>
      <c r="N103" s="846"/>
      <c r="O103" s="846"/>
      <c r="P103" s="846"/>
      <c r="Q103" s="846"/>
      <c r="R103" s="846"/>
      <c r="S103" s="846"/>
      <c r="T103" s="846"/>
      <c r="U103" s="846"/>
      <c r="V103" s="846"/>
      <c r="W103" s="846"/>
      <c r="X103" s="846"/>
    </row>
    <row r="104" spans="1:26" s="420" customFormat="1" x14ac:dyDescent="0.3">
      <c r="A104" s="859" t="s">
        <v>946</v>
      </c>
      <c r="B104" s="859"/>
      <c r="C104" s="860" t="s">
        <v>947</v>
      </c>
      <c r="D104" s="861"/>
      <c r="E104" s="862"/>
      <c r="F104" s="863"/>
      <c r="G104" s="863"/>
      <c r="H104" s="864"/>
      <c r="I104" s="864"/>
      <c r="J104" s="865"/>
      <c r="K104" s="865"/>
      <c r="L104" s="865"/>
      <c r="M104" s="865"/>
      <c r="N104" s="865"/>
      <c r="O104" s="865"/>
      <c r="P104" s="865"/>
      <c r="Q104" s="865"/>
      <c r="R104" s="865"/>
      <c r="S104" s="865"/>
      <c r="T104" s="866"/>
      <c r="U104" s="866"/>
      <c r="V104" s="866"/>
      <c r="W104" s="866"/>
      <c r="X104" s="866"/>
      <c r="Y104" s="418"/>
      <c r="Z104" s="419"/>
    </row>
    <row r="105" spans="1:26" x14ac:dyDescent="0.3">
      <c r="A105" s="867" t="s">
        <v>948</v>
      </c>
      <c r="B105" s="867" t="s">
        <v>948</v>
      </c>
      <c r="C105" s="868" t="s">
        <v>949</v>
      </c>
      <c r="D105" s="869">
        <v>10000</v>
      </c>
      <c r="E105" s="851">
        <v>3531.01</v>
      </c>
      <c r="F105" s="870">
        <v>10000</v>
      </c>
      <c r="G105" s="843">
        <f>F105*1/12</f>
        <v>833.33333333333337</v>
      </c>
      <c r="H105" s="871">
        <v>128.30000000000001</v>
      </c>
      <c r="I105" s="845">
        <f t="shared" si="13"/>
        <v>1666.6666666666667</v>
      </c>
      <c r="J105" s="846">
        <v>369.7</v>
      </c>
      <c r="K105" s="847">
        <f t="shared" si="15"/>
        <v>2500</v>
      </c>
      <c r="L105" s="846">
        <v>449.5</v>
      </c>
      <c r="M105" s="846"/>
      <c r="N105" s="846"/>
      <c r="O105" s="846"/>
      <c r="P105" s="846"/>
      <c r="Q105" s="846"/>
      <c r="R105" s="846"/>
      <c r="S105" s="846"/>
      <c r="T105" s="846"/>
      <c r="U105" s="846"/>
      <c r="V105" s="846"/>
      <c r="W105" s="846"/>
      <c r="X105" s="846"/>
    </row>
    <row r="106" spans="1:26" x14ac:dyDescent="0.3">
      <c r="A106" s="867" t="s">
        <v>950</v>
      </c>
      <c r="B106" s="867" t="s">
        <v>950</v>
      </c>
      <c r="C106" s="868" t="s">
        <v>951</v>
      </c>
      <c r="D106" s="869">
        <v>1000</v>
      </c>
      <c r="E106" s="851">
        <v>0</v>
      </c>
      <c r="F106" s="870">
        <v>1000</v>
      </c>
      <c r="G106" s="843">
        <f>F106*1/12</f>
        <v>83.333333333333329</v>
      </c>
      <c r="H106" s="871">
        <v>0</v>
      </c>
      <c r="I106" s="845">
        <f t="shared" si="13"/>
        <v>166.66666666666666</v>
      </c>
      <c r="J106" s="846">
        <v>0</v>
      </c>
      <c r="K106" s="847">
        <f t="shared" si="15"/>
        <v>250</v>
      </c>
      <c r="L106" s="846">
        <v>0</v>
      </c>
      <c r="M106" s="846"/>
      <c r="N106" s="846"/>
      <c r="O106" s="846"/>
      <c r="P106" s="846"/>
      <c r="Q106" s="846"/>
      <c r="R106" s="846"/>
      <c r="S106" s="846"/>
      <c r="T106" s="846"/>
      <c r="U106" s="846"/>
      <c r="V106" s="846"/>
      <c r="W106" s="846"/>
      <c r="X106" s="846"/>
    </row>
    <row r="107" spans="1:26" x14ac:dyDescent="0.3">
      <c r="A107" s="867" t="s">
        <v>952</v>
      </c>
      <c r="B107" s="867" t="s">
        <v>948</v>
      </c>
      <c r="C107" s="868" t="s">
        <v>953</v>
      </c>
      <c r="D107" s="869">
        <v>3500</v>
      </c>
      <c r="E107" s="851">
        <v>1551.23</v>
      </c>
      <c r="F107" s="870">
        <v>3500</v>
      </c>
      <c r="G107" s="843">
        <f>F107*1/12</f>
        <v>291.66666666666669</v>
      </c>
      <c r="H107" s="871">
        <v>64</v>
      </c>
      <c r="I107" s="845">
        <f t="shared" si="13"/>
        <v>583.33333333333337</v>
      </c>
      <c r="J107" s="846">
        <v>160</v>
      </c>
      <c r="K107" s="847">
        <f t="shared" si="15"/>
        <v>875</v>
      </c>
      <c r="L107" s="846">
        <v>256</v>
      </c>
      <c r="M107" s="846"/>
      <c r="N107" s="846"/>
      <c r="O107" s="846"/>
      <c r="P107" s="846"/>
      <c r="Q107" s="846"/>
      <c r="R107" s="846"/>
      <c r="S107" s="846"/>
      <c r="T107" s="846"/>
      <c r="U107" s="846"/>
      <c r="V107" s="846"/>
      <c r="W107" s="846"/>
      <c r="X107" s="847"/>
    </row>
    <row r="108" spans="1:26" s="420" customFormat="1" x14ac:dyDescent="0.3">
      <c r="A108" s="859" t="s">
        <v>954</v>
      </c>
      <c r="B108" s="859"/>
      <c r="C108" s="860" t="s">
        <v>955</v>
      </c>
      <c r="D108" s="861"/>
      <c r="E108" s="862"/>
      <c r="F108" s="863"/>
      <c r="G108" s="863"/>
      <c r="H108" s="864"/>
      <c r="I108" s="864"/>
      <c r="J108" s="865"/>
      <c r="K108" s="865"/>
      <c r="L108" s="865"/>
      <c r="M108" s="865"/>
      <c r="N108" s="865"/>
      <c r="O108" s="865"/>
      <c r="P108" s="865"/>
      <c r="Q108" s="865"/>
      <c r="R108" s="865"/>
      <c r="S108" s="865"/>
      <c r="T108" s="866"/>
      <c r="U108" s="866"/>
      <c r="V108" s="866"/>
      <c r="W108" s="866"/>
      <c r="X108" s="866"/>
      <c r="Y108" s="418"/>
      <c r="Z108" s="419"/>
    </row>
    <row r="109" spans="1:26" x14ac:dyDescent="0.3">
      <c r="A109" s="867" t="s">
        <v>956</v>
      </c>
      <c r="B109" s="867" t="s">
        <v>956</v>
      </c>
      <c r="C109" s="868" t="s">
        <v>957</v>
      </c>
      <c r="D109" s="869">
        <v>500</v>
      </c>
      <c r="E109" s="851">
        <v>24.9</v>
      </c>
      <c r="F109" s="870">
        <v>500</v>
      </c>
      <c r="G109" s="843">
        <f t="shared" ref="G109:G114" si="17">F109*1/12</f>
        <v>41.666666666666664</v>
      </c>
      <c r="H109" s="872">
        <v>0</v>
      </c>
      <c r="I109" s="845">
        <f t="shared" si="13"/>
        <v>83.333333333333329</v>
      </c>
      <c r="J109" s="846">
        <v>0</v>
      </c>
      <c r="K109" s="847">
        <f t="shared" si="15"/>
        <v>125</v>
      </c>
      <c r="L109" s="846">
        <v>0</v>
      </c>
      <c r="M109" s="846"/>
      <c r="N109" s="846"/>
      <c r="O109" s="846"/>
      <c r="P109" s="846"/>
      <c r="Q109" s="846"/>
      <c r="R109" s="846"/>
      <c r="S109" s="846"/>
      <c r="T109" s="846"/>
      <c r="U109" s="846"/>
      <c r="V109" s="846"/>
      <c r="W109" s="846"/>
      <c r="X109" s="846"/>
    </row>
    <row r="110" spans="1:26" x14ac:dyDescent="0.3">
      <c r="A110" s="867" t="s">
        <v>958</v>
      </c>
      <c r="B110" s="867" t="s">
        <v>958</v>
      </c>
      <c r="C110" s="868" t="s">
        <v>959</v>
      </c>
      <c r="D110" s="869">
        <v>0</v>
      </c>
      <c r="E110" s="851">
        <v>0</v>
      </c>
      <c r="F110" s="870">
        <v>0</v>
      </c>
      <c r="G110" s="843">
        <f t="shared" si="17"/>
        <v>0</v>
      </c>
      <c r="H110" s="872">
        <v>0</v>
      </c>
      <c r="I110" s="845">
        <f t="shared" si="13"/>
        <v>0</v>
      </c>
      <c r="J110" s="846">
        <v>0</v>
      </c>
      <c r="K110" s="847">
        <f t="shared" si="15"/>
        <v>0</v>
      </c>
      <c r="L110" s="846">
        <v>0</v>
      </c>
      <c r="M110" s="846"/>
      <c r="N110" s="846"/>
      <c r="O110" s="846"/>
      <c r="P110" s="846"/>
      <c r="Q110" s="846"/>
      <c r="R110" s="846"/>
      <c r="S110" s="846"/>
      <c r="T110" s="846"/>
      <c r="U110" s="846"/>
      <c r="V110" s="846"/>
      <c r="W110" s="846"/>
      <c r="X110" s="846"/>
    </row>
    <row r="111" spans="1:26" x14ac:dyDescent="0.3">
      <c r="A111" s="867" t="s">
        <v>960</v>
      </c>
      <c r="B111" s="867" t="s">
        <v>956</v>
      </c>
      <c r="C111" s="868" t="s">
        <v>961</v>
      </c>
      <c r="D111" s="869">
        <v>100</v>
      </c>
      <c r="E111" s="851">
        <v>0</v>
      </c>
      <c r="F111" s="870">
        <v>100</v>
      </c>
      <c r="G111" s="843">
        <f t="shared" si="17"/>
        <v>8.3333333333333339</v>
      </c>
      <c r="H111" s="872">
        <v>0</v>
      </c>
      <c r="I111" s="845">
        <f t="shared" si="13"/>
        <v>16.666666666666668</v>
      </c>
      <c r="J111" s="846">
        <v>0</v>
      </c>
      <c r="K111" s="847">
        <f t="shared" si="15"/>
        <v>25</v>
      </c>
      <c r="L111" s="846">
        <v>0</v>
      </c>
      <c r="M111" s="846"/>
      <c r="N111" s="846"/>
      <c r="O111" s="846"/>
      <c r="P111" s="846"/>
      <c r="Q111" s="846"/>
      <c r="R111" s="846"/>
      <c r="S111" s="846"/>
      <c r="T111" s="846"/>
      <c r="U111" s="846"/>
      <c r="V111" s="846"/>
      <c r="W111" s="846"/>
      <c r="X111" s="846"/>
    </row>
    <row r="112" spans="1:26" x14ac:dyDescent="0.3">
      <c r="A112" s="867" t="s">
        <v>962</v>
      </c>
      <c r="B112" s="867" t="s">
        <v>956</v>
      </c>
      <c r="C112" s="868" t="s">
        <v>963</v>
      </c>
      <c r="D112" s="869">
        <v>300</v>
      </c>
      <c r="E112" s="851">
        <v>0</v>
      </c>
      <c r="F112" s="870">
        <v>300</v>
      </c>
      <c r="G112" s="843">
        <f t="shared" si="17"/>
        <v>25</v>
      </c>
      <c r="H112" s="872">
        <v>0</v>
      </c>
      <c r="I112" s="845">
        <f t="shared" si="13"/>
        <v>50</v>
      </c>
      <c r="J112" s="846">
        <v>0</v>
      </c>
      <c r="K112" s="847">
        <f t="shared" si="15"/>
        <v>75</v>
      </c>
      <c r="L112" s="846">
        <v>0</v>
      </c>
      <c r="M112" s="846"/>
      <c r="N112" s="846"/>
      <c r="O112" s="846"/>
      <c r="P112" s="846"/>
      <c r="Q112" s="846"/>
      <c r="R112" s="846"/>
      <c r="S112" s="846"/>
      <c r="T112" s="846"/>
      <c r="U112" s="846"/>
      <c r="V112" s="846"/>
      <c r="W112" s="846"/>
      <c r="X112" s="846"/>
    </row>
    <row r="113" spans="1:26" x14ac:dyDescent="0.3">
      <c r="A113" s="867" t="s">
        <v>964</v>
      </c>
      <c r="B113" s="867" t="s">
        <v>958</v>
      </c>
      <c r="C113" s="868" t="s">
        <v>965</v>
      </c>
      <c r="D113" s="869">
        <v>160</v>
      </c>
      <c r="E113" s="851">
        <v>0</v>
      </c>
      <c r="F113" s="870">
        <v>160</v>
      </c>
      <c r="G113" s="843">
        <f t="shared" si="17"/>
        <v>13.333333333333334</v>
      </c>
      <c r="H113" s="872">
        <v>0</v>
      </c>
      <c r="I113" s="845">
        <f t="shared" si="13"/>
        <v>26.666666666666668</v>
      </c>
      <c r="J113" s="846">
        <v>0</v>
      </c>
      <c r="K113" s="847">
        <f t="shared" si="15"/>
        <v>40</v>
      </c>
      <c r="L113" s="846">
        <v>0</v>
      </c>
      <c r="M113" s="846"/>
      <c r="N113" s="846"/>
      <c r="O113" s="846"/>
      <c r="P113" s="846"/>
      <c r="Q113" s="846"/>
      <c r="R113" s="846"/>
      <c r="S113" s="846"/>
      <c r="T113" s="846"/>
      <c r="U113" s="846"/>
      <c r="V113" s="846"/>
      <c r="W113" s="846"/>
      <c r="X113" s="846"/>
    </row>
    <row r="114" spans="1:26" x14ac:dyDescent="0.3">
      <c r="A114" s="867" t="s">
        <v>966</v>
      </c>
      <c r="B114" s="867" t="s">
        <v>956</v>
      </c>
      <c r="C114" s="868" t="s">
        <v>967</v>
      </c>
      <c r="D114" s="869">
        <v>200</v>
      </c>
      <c r="E114" s="851">
        <v>0</v>
      </c>
      <c r="F114" s="870">
        <v>200</v>
      </c>
      <c r="G114" s="843">
        <f t="shared" si="17"/>
        <v>16.666666666666668</v>
      </c>
      <c r="H114" s="872">
        <v>0</v>
      </c>
      <c r="I114" s="845">
        <f t="shared" si="13"/>
        <v>33.333333333333336</v>
      </c>
      <c r="J114" s="846">
        <v>0</v>
      </c>
      <c r="K114" s="847">
        <f t="shared" si="15"/>
        <v>50</v>
      </c>
      <c r="L114" s="846">
        <v>0</v>
      </c>
      <c r="M114" s="846"/>
      <c r="N114" s="846"/>
      <c r="O114" s="846"/>
      <c r="P114" s="846"/>
      <c r="Q114" s="846"/>
      <c r="R114" s="846"/>
      <c r="S114" s="846"/>
      <c r="T114" s="846"/>
      <c r="U114" s="846"/>
      <c r="V114" s="846"/>
      <c r="W114" s="846"/>
      <c r="X114" s="846"/>
    </row>
    <row r="115" spans="1:26" s="420" customFormat="1" x14ac:dyDescent="0.3">
      <c r="A115" s="859" t="s">
        <v>968</v>
      </c>
      <c r="B115" s="859"/>
      <c r="C115" s="860" t="s">
        <v>969</v>
      </c>
      <c r="D115" s="861"/>
      <c r="E115" s="862"/>
      <c r="F115" s="863"/>
      <c r="G115" s="863"/>
      <c r="H115" s="864"/>
      <c r="I115" s="864"/>
      <c r="J115" s="865"/>
      <c r="K115" s="865"/>
      <c r="L115" s="865"/>
      <c r="M115" s="865"/>
      <c r="N115" s="865"/>
      <c r="O115" s="865"/>
      <c r="P115" s="865"/>
      <c r="Q115" s="865"/>
      <c r="R115" s="865"/>
      <c r="S115" s="865"/>
      <c r="T115" s="865"/>
      <c r="U115" s="865"/>
      <c r="V115" s="866"/>
      <c r="W115" s="866"/>
      <c r="X115" s="866"/>
      <c r="Y115" s="418"/>
      <c r="Z115" s="419"/>
    </row>
    <row r="116" spans="1:26" x14ac:dyDescent="0.3">
      <c r="A116" s="873" t="s">
        <v>970</v>
      </c>
      <c r="B116" s="873" t="s">
        <v>1312</v>
      </c>
      <c r="C116" s="874" t="s">
        <v>971</v>
      </c>
      <c r="D116" s="869">
        <v>1500</v>
      </c>
      <c r="E116" s="851">
        <v>296</v>
      </c>
      <c r="F116" s="870">
        <v>1500</v>
      </c>
      <c r="G116" s="843">
        <f>F116*1/12</f>
        <v>125</v>
      </c>
      <c r="H116" s="875">
        <v>0</v>
      </c>
      <c r="I116" s="845">
        <f t="shared" si="13"/>
        <v>250</v>
      </c>
      <c r="J116" s="846">
        <v>9</v>
      </c>
      <c r="K116" s="847">
        <f t="shared" si="15"/>
        <v>375</v>
      </c>
      <c r="L116" s="846">
        <v>9</v>
      </c>
      <c r="M116" s="846"/>
      <c r="N116" s="846"/>
      <c r="O116" s="846"/>
      <c r="P116" s="846"/>
      <c r="Q116" s="846"/>
      <c r="R116" s="846"/>
      <c r="S116" s="846"/>
      <c r="T116" s="846"/>
      <c r="U116" s="846"/>
      <c r="V116" s="846"/>
      <c r="W116" s="846"/>
      <c r="X116" s="846"/>
    </row>
    <row r="117" spans="1:26" x14ac:dyDescent="0.3">
      <c r="A117" s="873" t="s">
        <v>972</v>
      </c>
      <c r="B117" s="873" t="s">
        <v>1312</v>
      </c>
      <c r="C117" s="874" t="s">
        <v>973</v>
      </c>
      <c r="D117" s="869">
        <v>100</v>
      </c>
      <c r="E117" s="851">
        <v>0</v>
      </c>
      <c r="F117" s="870">
        <v>100</v>
      </c>
      <c r="G117" s="843">
        <f>F117*1/12</f>
        <v>8.3333333333333339</v>
      </c>
      <c r="H117" s="875">
        <v>0</v>
      </c>
      <c r="I117" s="845">
        <f t="shared" si="13"/>
        <v>16.666666666666668</v>
      </c>
      <c r="J117" s="846">
        <v>0</v>
      </c>
      <c r="K117" s="847">
        <f t="shared" si="15"/>
        <v>25</v>
      </c>
      <c r="L117" s="846">
        <v>0</v>
      </c>
      <c r="M117" s="846"/>
      <c r="N117" s="846"/>
      <c r="O117" s="846"/>
      <c r="P117" s="846"/>
      <c r="Q117" s="846"/>
      <c r="R117" s="846"/>
      <c r="S117" s="846"/>
      <c r="T117" s="846"/>
      <c r="U117" s="846"/>
      <c r="V117" s="846"/>
      <c r="W117" s="846"/>
      <c r="X117" s="846"/>
    </row>
    <row r="118" spans="1:26" s="420" customFormat="1" x14ac:dyDescent="0.3">
      <c r="A118" s="859" t="s">
        <v>974</v>
      </c>
      <c r="B118" s="859"/>
      <c r="C118" s="860" t="s">
        <v>975</v>
      </c>
      <c r="D118" s="861"/>
      <c r="E118" s="862"/>
      <c r="F118" s="863"/>
      <c r="G118" s="863"/>
      <c r="H118" s="864"/>
      <c r="I118" s="864"/>
      <c r="J118" s="865"/>
      <c r="K118" s="865"/>
      <c r="L118" s="865"/>
      <c r="M118" s="865"/>
      <c r="N118" s="865"/>
      <c r="O118" s="865"/>
      <c r="P118" s="865"/>
      <c r="Q118" s="865"/>
      <c r="R118" s="865"/>
      <c r="S118" s="865"/>
      <c r="T118" s="865"/>
      <c r="U118" s="865"/>
      <c r="V118" s="866"/>
      <c r="W118" s="866"/>
      <c r="X118" s="866"/>
      <c r="Y118" s="418"/>
      <c r="Z118" s="419"/>
    </row>
    <row r="119" spans="1:26" x14ac:dyDescent="0.3">
      <c r="A119" s="873" t="s">
        <v>257</v>
      </c>
      <c r="B119" s="873" t="s">
        <v>255</v>
      </c>
      <c r="C119" s="874" t="s">
        <v>976</v>
      </c>
      <c r="D119" s="869">
        <v>2500</v>
      </c>
      <c r="E119" s="851">
        <v>732.35</v>
      </c>
      <c r="F119" s="870">
        <v>2500</v>
      </c>
      <c r="G119" s="843">
        <f>F119*1/12</f>
        <v>208.33333333333334</v>
      </c>
      <c r="H119" s="846">
        <v>30.39</v>
      </c>
      <c r="I119" s="845">
        <f t="shared" si="13"/>
        <v>416.66666666666669</v>
      </c>
      <c r="J119" s="846">
        <v>121.59</v>
      </c>
      <c r="K119" s="847">
        <f>F119*3/12</f>
        <v>625</v>
      </c>
      <c r="L119" s="846">
        <v>206</v>
      </c>
      <c r="M119" s="846"/>
      <c r="N119" s="846"/>
      <c r="O119" s="846"/>
      <c r="P119" s="846"/>
      <c r="Q119" s="846"/>
      <c r="R119" s="846"/>
      <c r="S119" s="846"/>
      <c r="T119" s="846"/>
      <c r="U119" s="846"/>
      <c r="V119" s="846"/>
      <c r="W119" s="847"/>
      <c r="X119" s="847"/>
    </row>
    <row r="120" spans="1:26" x14ac:dyDescent="0.3">
      <c r="A120" s="873" t="s">
        <v>258</v>
      </c>
      <c r="B120" s="873" t="s">
        <v>255</v>
      </c>
      <c r="C120" s="874" t="s">
        <v>977</v>
      </c>
      <c r="D120" s="869">
        <v>2500</v>
      </c>
      <c r="E120" s="851">
        <v>1810.85</v>
      </c>
      <c r="F120" s="870">
        <v>2500</v>
      </c>
      <c r="G120" s="843">
        <f>F120*1/12</f>
        <v>208.33333333333334</v>
      </c>
      <c r="H120" s="846">
        <v>30.38</v>
      </c>
      <c r="I120" s="845">
        <f t="shared" si="13"/>
        <v>416.66666666666669</v>
      </c>
      <c r="J120" s="846">
        <v>173.17</v>
      </c>
      <c r="K120" s="847">
        <f>F120*3/12</f>
        <v>625</v>
      </c>
      <c r="L120" s="846">
        <v>486.77</v>
      </c>
      <c r="M120" s="846"/>
      <c r="N120" s="846"/>
      <c r="O120" s="846"/>
      <c r="P120" s="846"/>
      <c r="Q120" s="846"/>
      <c r="R120" s="846"/>
      <c r="S120" s="846"/>
      <c r="T120" s="846"/>
      <c r="U120" s="846"/>
      <c r="V120" s="846"/>
      <c r="W120" s="846"/>
      <c r="X120" s="846"/>
    </row>
    <row r="121" spans="1:26" x14ac:dyDescent="0.3">
      <c r="A121" s="873" t="s">
        <v>261</v>
      </c>
      <c r="B121" s="873" t="s">
        <v>255</v>
      </c>
      <c r="C121" s="874" t="s">
        <v>978</v>
      </c>
      <c r="D121" s="869">
        <v>100</v>
      </c>
      <c r="E121" s="851">
        <v>0</v>
      </c>
      <c r="F121" s="870">
        <v>100</v>
      </c>
      <c r="G121" s="843">
        <f>F121*1/12</f>
        <v>8.3333333333333339</v>
      </c>
      <c r="H121" s="846">
        <v>0</v>
      </c>
      <c r="I121" s="845">
        <f t="shared" si="13"/>
        <v>16.666666666666668</v>
      </c>
      <c r="J121" s="846">
        <v>0</v>
      </c>
      <c r="K121" s="847">
        <f>F121*3/12</f>
        <v>25</v>
      </c>
      <c r="L121" s="846">
        <v>0</v>
      </c>
      <c r="M121" s="846"/>
      <c r="N121" s="846"/>
      <c r="O121" s="846"/>
      <c r="P121" s="846"/>
      <c r="Q121" s="846"/>
      <c r="R121" s="846"/>
      <c r="S121" s="846"/>
      <c r="T121" s="846"/>
      <c r="U121" s="846"/>
      <c r="V121" s="846"/>
      <c r="W121" s="846"/>
      <c r="X121" s="846"/>
    </row>
    <row r="122" spans="1:26" s="420" customFormat="1" x14ac:dyDescent="0.3">
      <c r="A122" s="859"/>
      <c r="B122" s="859"/>
      <c r="C122" s="860" t="s">
        <v>979</v>
      </c>
      <c r="D122" s="861"/>
      <c r="E122" s="862"/>
      <c r="F122" s="863"/>
      <c r="G122" s="863"/>
      <c r="H122" s="864"/>
      <c r="I122" s="864"/>
      <c r="J122" s="865"/>
      <c r="K122" s="865"/>
      <c r="L122" s="865"/>
      <c r="M122" s="865"/>
      <c r="N122" s="865"/>
      <c r="O122" s="865"/>
      <c r="P122" s="865"/>
      <c r="Q122" s="865"/>
      <c r="R122" s="865"/>
      <c r="S122" s="865"/>
      <c r="T122" s="866"/>
      <c r="U122" s="866"/>
      <c r="V122" s="865"/>
      <c r="W122" s="866"/>
      <c r="X122" s="866"/>
      <c r="Y122" s="418"/>
      <c r="Z122" s="419"/>
    </row>
    <row r="123" spans="1:26" x14ac:dyDescent="0.3">
      <c r="A123" s="873" t="s">
        <v>285</v>
      </c>
      <c r="B123" s="873" t="s">
        <v>283</v>
      </c>
      <c r="C123" s="874" t="s">
        <v>980</v>
      </c>
      <c r="D123" s="869">
        <v>155000</v>
      </c>
      <c r="E123" s="851">
        <v>126134.02</v>
      </c>
      <c r="F123" s="870">
        <v>155000</v>
      </c>
      <c r="G123" s="843">
        <f>F123*1/12</f>
        <v>12916.666666666666</v>
      </c>
      <c r="H123" s="875">
        <v>0</v>
      </c>
      <c r="I123" s="845">
        <f t="shared" ref="I123:I179" si="18">F123*2/12</f>
        <v>25833.333333333332</v>
      </c>
      <c r="J123" s="846">
        <v>0</v>
      </c>
      <c r="K123" s="847">
        <f>F123*3/12</f>
        <v>38750</v>
      </c>
      <c r="L123" s="846">
        <v>0</v>
      </c>
      <c r="M123" s="846"/>
      <c r="N123" s="846"/>
      <c r="O123" s="846"/>
      <c r="P123" s="846"/>
      <c r="Q123" s="846"/>
      <c r="R123" s="846"/>
      <c r="S123" s="846"/>
      <c r="T123" s="846"/>
      <c r="U123" s="846"/>
      <c r="V123" s="846"/>
      <c r="W123" s="846"/>
      <c r="X123" s="846"/>
    </row>
    <row r="124" spans="1:26" x14ac:dyDescent="0.3">
      <c r="A124" s="873" t="s">
        <v>286</v>
      </c>
      <c r="B124" s="873" t="s">
        <v>283</v>
      </c>
      <c r="C124" s="874" t="s">
        <v>981</v>
      </c>
      <c r="D124" s="869">
        <v>205000</v>
      </c>
      <c r="E124" s="851">
        <v>185309.52</v>
      </c>
      <c r="F124" s="870">
        <v>205000</v>
      </c>
      <c r="G124" s="843">
        <f>F124*1/12</f>
        <v>17083.333333333332</v>
      </c>
      <c r="H124" s="875">
        <v>0</v>
      </c>
      <c r="I124" s="845">
        <f t="shared" si="18"/>
        <v>34166.666666666664</v>
      </c>
      <c r="J124" s="846">
        <v>0</v>
      </c>
      <c r="K124" s="847">
        <f>F124*3/12</f>
        <v>51250</v>
      </c>
      <c r="L124" s="846">
        <v>0</v>
      </c>
      <c r="M124" s="846"/>
      <c r="N124" s="846"/>
      <c r="O124" s="846"/>
      <c r="P124" s="846"/>
      <c r="Q124" s="846"/>
      <c r="R124" s="846"/>
      <c r="S124" s="846"/>
      <c r="T124" s="846"/>
      <c r="U124" s="846"/>
      <c r="V124" s="846"/>
      <c r="W124" s="846"/>
      <c r="X124" s="846"/>
    </row>
    <row r="125" spans="1:26" x14ac:dyDescent="0.3">
      <c r="A125" s="873" t="s">
        <v>288</v>
      </c>
      <c r="B125" s="873" t="s">
        <v>283</v>
      </c>
      <c r="C125" s="874" t="s">
        <v>982</v>
      </c>
      <c r="D125" s="869">
        <v>2000</v>
      </c>
      <c r="E125" s="851">
        <v>1208.06</v>
      </c>
      <c r="F125" s="870">
        <v>2000</v>
      </c>
      <c r="G125" s="843">
        <f>F125*1/12</f>
        <v>166.66666666666666</v>
      </c>
      <c r="H125" s="875">
        <v>0</v>
      </c>
      <c r="I125" s="845">
        <f t="shared" si="18"/>
        <v>333.33333333333331</v>
      </c>
      <c r="J125" s="846">
        <v>0</v>
      </c>
      <c r="K125" s="847">
        <f>F125*3/12</f>
        <v>500</v>
      </c>
      <c r="L125" s="846">
        <v>231.39</v>
      </c>
      <c r="M125" s="846"/>
      <c r="N125" s="846"/>
      <c r="O125" s="846"/>
      <c r="P125" s="846"/>
      <c r="Q125" s="846"/>
      <c r="R125" s="846"/>
      <c r="S125" s="846"/>
      <c r="T125" s="846"/>
      <c r="U125" s="846"/>
      <c r="V125" s="846"/>
      <c r="W125" s="846"/>
      <c r="X125" s="846"/>
    </row>
    <row r="126" spans="1:26" x14ac:dyDescent="0.3">
      <c r="A126" s="873" t="s">
        <v>290</v>
      </c>
      <c r="B126" s="873" t="s">
        <v>283</v>
      </c>
      <c r="C126" s="874" t="s">
        <v>983</v>
      </c>
      <c r="D126" s="869">
        <v>2000</v>
      </c>
      <c r="E126" s="851">
        <v>0</v>
      </c>
      <c r="F126" s="870">
        <v>2000</v>
      </c>
      <c r="G126" s="843">
        <f>F126*1/12</f>
        <v>166.66666666666666</v>
      </c>
      <c r="H126" s="875">
        <v>0</v>
      </c>
      <c r="I126" s="845">
        <f t="shared" si="18"/>
        <v>333.33333333333331</v>
      </c>
      <c r="J126" s="846">
        <v>0</v>
      </c>
      <c r="K126" s="847">
        <f>F126*3/12</f>
        <v>500</v>
      </c>
      <c r="L126" s="846">
        <v>0</v>
      </c>
      <c r="M126" s="846"/>
      <c r="N126" s="846"/>
      <c r="O126" s="846"/>
      <c r="P126" s="846"/>
      <c r="Q126" s="846"/>
      <c r="R126" s="846"/>
      <c r="S126" s="846"/>
      <c r="T126" s="846"/>
      <c r="U126" s="846"/>
      <c r="V126" s="846"/>
      <c r="W126" s="846"/>
      <c r="X126" s="846"/>
    </row>
    <row r="127" spans="1:26" s="420" customFormat="1" x14ac:dyDescent="0.3">
      <c r="A127" s="859" t="s">
        <v>984</v>
      </c>
      <c r="B127" s="859"/>
      <c r="C127" s="860" t="s">
        <v>985</v>
      </c>
      <c r="D127" s="861"/>
      <c r="E127" s="876"/>
      <c r="F127" s="863"/>
      <c r="G127" s="863"/>
      <c r="H127" s="864"/>
      <c r="I127" s="864"/>
      <c r="J127" s="864"/>
      <c r="K127" s="864"/>
      <c r="L127" s="864"/>
      <c r="M127" s="865"/>
      <c r="N127" s="865"/>
      <c r="O127" s="865"/>
      <c r="P127" s="865"/>
      <c r="Q127" s="864"/>
      <c r="R127" s="864"/>
      <c r="S127" s="864"/>
      <c r="T127" s="877"/>
      <c r="U127" s="877"/>
      <c r="V127" s="864"/>
      <c r="W127" s="877"/>
      <c r="X127" s="877"/>
      <c r="Y127" s="418"/>
      <c r="Z127" s="419"/>
    </row>
    <row r="128" spans="1:26" x14ac:dyDescent="0.3">
      <c r="A128" s="873" t="s">
        <v>986</v>
      </c>
      <c r="B128" s="873" t="s">
        <v>283</v>
      </c>
      <c r="C128" s="874" t="s">
        <v>681</v>
      </c>
      <c r="D128" s="869">
        <v>500</v>
      </c>
      <c r="E128" s="878">
        <v>0</v>
      </c>
      <c r="F128" s="870">
        <v>500</v>
      </c>
      <c r="G128" s="843">
        <f>F128*1/12</f>
        <v>41.666666666666664</v>
      </c>
      <c r="H128" s="875">
        <v>0</v>
      </c>
      <c r="I128" s="845">
        <f t="shared" si="18"/>
        <v>83.333333333333329</v>
      </c>
      <c r="J128" s="875">
        <v>0</v>
      </c>
      <c r="K128" s="845">
        <f>F128*3/12</f>
        <v>125</v>
      </c>
      <c r="L128" s="875">
        <v>0</v>
      </c>
      <c r="M128" s="846"/>
      <c r="N128" s="846"/>
      <c r="O128" s="846"/>
      <c r="P128" s="846"/>
      <c r="Q128" s="875"/>
      <c r="R128" s="875"/>
      <c r="S128" s="875"/>
      <c r="T128" s="875"/>
      <c r="U128" s="875"/>
      <c r="V128" s="846"/>
      <c r="W128" s="875"/>
      <c r="X128" s="875"/>
    </row>
    <row r="129" spans="1:26" x14ac:dyDescent="0.3">
      <c r="A129" s="873" t="s">
        <v>987</v>
      </c>
      <c r="B129" s="873" t="s">
        <v>283</v>
      </c>
      <c r="C129" s="874" t="s">
        <v>310</v>
      </c>
      <c r="D129" s="869">
        <v>200</v>
      </c>
      <c r="E129" s="878">
        <v>0</v>
      </c>
      <c r="F129" s="870">
        <v>200</v>
      </c>
      <c r="G129" s="843">
        <f>F129*1/12</f>
        <v>16.666666666666668</v>
      </c>
      <c r="H129" s="875">
        <v>0</v>
      </c>
      <c r="I129" s="845">
        <f t="shared" si="18"/>
        <v>33.333333333333336</v>
      </c>
      <c r="J129" s="875">
        <v>0</v>
      </c>
      <c r="K129" s="845">
        <f>F129*3/12</f>
        <v>50</v>
      </c>
      <c r="L129" s="875">
        <v>0</v>
      </c>
      <c r="M129" s="846"/>
      <c r="N129" s="846"/>
      <c r="O129" s="846"/>
      <c r="P129" s="846"/>
      <c r="Q129" s="875"/>
      <c r="R129" s="875"/>
      <c r="S129" s="875"/>
      <c r="T129" s="875"/>
      <c r="U129" s="875"/>
      <c r="V129" s="875"/>
      <c r="W129" s="875"/>
      <c r="X129" s="875"/>
    </row>
    <row r="130" spans="1:26" x14ac:dyDescent="0.3">
      <c r="A130" s="873" t="s">
        <v>988</v>
      </c>
      <c r="B130" s="873" t="s">
        <v>283</v>
      </c>
      <c r="C130" s="874" t="s">
        <v>989</v>
      </c>
      <c r="D130" s="869">
        <v>500</v>
      </c>
      <c r="E130" s="878">
        <v>480</v>
      </c>
      <c r="F130" s="870">
        <v>500</v>
      </c>
      <c r="G130" s="843">
        <f>F130*1/12</f>
        <v>41.666666666666664</v>
      </c>
      <c r="H130" s="875">
        <v>0</v>
      </c>
      <c r="I130" s="845">
        <f t="shared" si="18"/>
        <v>83.333333333333329</v>
      </c>
      <c r="J130" s="875">
        <v>0</v>
      </c>
      <c r="K130" s="845">
        <f>F130*3/12</f>
        <v>125</v>
      </c>
      <c r="L130" s="875">
        <v>0</v>
      </c>
      <c r="M130" s="846"/>
      <c r="N130" s="846"/>
      <c r="O130" s="846"/>
      <c r="P130" s="846"/>
      <c r="Q130" s="875"/>
      <c r="R130" s="875"/>
      <c r="S130" s="875"/>
      <c r="T130" s="875"/>
      <c r="U130" s="875"/>
      <c r="V130" s="875"/>
      <c r="W130" s="875"/>
      <c r="X130" s="875"/>
    </row>
    <row r="131" spans="1:26" s="420" customFormat="1" x14ac:dyDescent="0.3">
      <c r="A131" s="859" t="s">
        <v>990</v>
      </c>
      <c r="B131" s="859"/>
      <c r="C131" s="860" t="s">
        <v>991</v>
      </c>
      <c r="D131" s="861"/>
      <c r="E131" s="879"/>
      <c r="F131" s="863"/>
      <c r="G131" s="863"/>
      <c r="H131" s="864"/>
      <c r="I131" s="864"/>
      <c r="J131" s="864"/>
      <c r="K131" s="864"/>
      <c r="L131" s="864"/>
      <c r="M131" s="865"/>
      <c r="N131" s="865"/>
      <c r="O131" s="865"/>
      <c r="P131" s="865"/>
      <c r="Q131" s="864"/>
      <c r="R131" s="864"/>
      <c r="S131" s="864"/>
      <c r="T131" s="877"/>
      <c r="U131" s="877"/>
      <c r="V131" s="864"/>
      <c r="W131" s="864"/>
      <c r="X131" s="864"/>
      <c r="Y131" s="418"/>
      <c r="Z131" s="419"/>
    </row>
    <row r="132" spans="1:26" x14ac:dyDescent="0.3">
      <c r="A132" s="848" t="s">
        <v>992</v>
      </c>
      <c r="B132" s="848" t="s">
        <v>1313</v>
      </c>
      <c r="C132" s="849" t="s">
        <v>993</v>
      </c>
      <c r="D132" s="869">
        <v>500</v>
      </c>
      <c r="E132" s="878">
        <v>0</v>
      </c>
      <c r="F132" s="870">
        <v>500</v>
      </c>
      <c r="G132" s="843">
        <f>F132*1/12</f>
        <v>41.666666666666664</v>
      </c>
      <c r="H132" s="875">
        <v>0</v>
      </c>
      <c r="I132" s="845">
        <f t="shared" si="18"/>
        <v>83.333333333333329</v>
      </c>
      <c r="J132" s="875">
        <v>0</v>
      </c>
      <c r="K132" s="845">
        <f>F132*3/12</f>
        <v>125</v>
      </c>
      <c r="L132" s="875">
        <v>0</v>
      </c>
      <c r="M132" s="846"/>
      <c r="N132" s="846"/>
      <c r="O132" s="846"/>
      <c r="P132" s="846"/>
      <c r="Q132" s="875"/>
      <c r="R132" s="875"/>
      <c r="S132" s="875"/>
      <c r="T132" s="875"/>
      <c r="U132" s="875"/>
      <c r="V132" s="875"/>
      <c r="W132" s="875"/>
      <c r="X132" s="875"/>
    </row>
    <row r="133" spans="1:26" x14ac:dyDescent="0.3">
      <c r="A133" s="848" t="s">
        <v>994</v>
      </c>
      <c r="B133" s="848" t="s">
        <v>1313</v>
      </c>
      <c r="C133" s="849" t="s">
        <v>995</v>
      </c>
      <c r="D133" s="869">
        <v>500</v>
      </c>
      <c r="E133" s="878">
        <v>0</v>
      </c>
      <c r="F133" s="870">
        <v>500</v>
      </c>
      <c r="G133" s="843">
        <f>F133*1/12</f>
        <v>41.666666666666664</v>
      </c>
      <c r="H133" s="875">
        <v>0</v>
      </c>
      <c r="I133" s="845">
        <f t="shared" si="18"/>
        <v>83.333333333333329</v>
      </c>
      <c r="J133" s="875">
        <v>0</v>
      </c>
      <c r="K133" s="845">
        <f>F133*3/12</f>
        <v>125</v>
      </c>
      <c r="L133" s="875">
        <v>0</v>
      </c>
      <c r="M133" s="846"/>
      <c r="N133" s="846"/>
      <c r="O133" s="846"/>
      <c r="P133" s="846"/>
      <c r="Q133" s="875"/>
      <c r="R133" s="875"/>
      <c r="S133" s="875"/>
      <c r="T133" s="875"/>
      <c r="U133" s="875"/>
      <c r="V133" s="875"/>
      <c r="W133" s="875"/>
      <c r="X133" s="875"/>
    </row>
    <row r="134" spans="1:26" x14ac:dyDescent="0.3">
      <c r="A134" s="848" t="s">
        <v>996</v>
      </c>
      <c r="B134" s="848" t="s">
        <v>1313</v>
      </c>
      <c r="C134" s="849" t="s">
        <v>997</v>
      </c>
      <c r="D134" s="869">
        <v>800</v>
      </c>
      <c r="E134" s="878">
        <v>0</v>
      </c>
      <c r="F134" s="870">
        <v>800</v>
      </c>
      <c r="G134" s="843">
        <f>F134*1/12</f>
        <v>66.666666666666671</v>
      </c>
      <c r="H134" s="875">
        <v>0</v>
      </c>
      <c r="I134" s="845">
        <f t="shared" si="18"/>
        <v>133.33333333333334</v>
      </c>
      <c r="J134" s="875">
        <v>0</v>
      </c>
      <c r="K134" s="845">
        <f>F134*3/12</f>
        <v>200</v>
      </c>
      <c r="L134" s="875">
        <v>0</v>
      </c>
      <c r="M134" s="846"/>
      <c r="N134" s="846"/>
      <c r="O134" s="846"/>
      <c r="P134" s="846"/>
      <c r="Q134" s="875"/>
      <c r="R134" s="875"/>
      <c r="S134" s="875"/>
      <c r="T134" s="875"/>
      <c r="U134" s="875"/>
      <c r="V134" s="875"/>
      <c r="W134" s="875"/>
      <c r="X134" s="875"/>
    </row>
    <row r="135" spans="1:26" x14ac:dyDescent="0.3">
      <c r="A135" s="848" t="s">
        <v>998</v>
      </c>
      <c r="B135" s="848" t="s">
        <v>1313</v>
      </c>
      <c r="C135" s="849" t="s">
        <v>999</v>
      </c>
      <c r="D135" s="869">
        <v>100</v>
      </c>
      <c r="E135" s="878">
        <v>0</v>
      </c>
      <c r="F135" s="870">
        <v>100</v>
      </c>
      <c r="G135" s="843">
        <f>F135*1/12</f>
        <v>8.3333333333333339</v>
      </c>
      <c r="H135" s="875">
        <v>0</v>
      </c>
      <c r="I135" s="845">
        <f t="shared" si="18"/>
        <v>16.666666666666668</v>
      </c>
      <c r="J135" s="875">
        <v>0</v>
      </c>
      <c r="K135" s="845">
        <f>F135*3/12</f>
        <v>25</v>
      </c>
      <c r="L135" s="875">
        <v>0</v>
      </c>
      <c r="M135" s="846"/>
      <c r="N135" s="846"/>
      <c r="O135" s="846"/>
      <c r="P135" s="846"/>
      <c r="Q135" s="875"/>
      <c r="R135" s="875"/>
      <c r="S135" s="875"/>
      <c r="T135" s="875"/>
      <c r="U135" s="875"/>
      <c r="V135" s="875"/>
      <c r="W135" s="875"/>
      <c r="X135" s="875"/>
    </row>
    <row r="136" spans="1:26" x14ac:dyDescent="0.3">
      <c r="A136" s="854" t="s">
        <v>871</v>
      </c>
      <c r="B136" s="854" t="s">
        <v>871</v>
      </c>
      <c r="C136" s="855" t="s">
        <v>1000</v>
      </c>
      <c r="D136" s="869"/>
      <c r="E136" s="878"/>
      <c r="F136" s="870"/>
      <c r="G136" s="843"/>
      <c r="H136" s="875"/>
      <c r="I136" s="845"/>
      <c r="J136" s="875"/>
      <c r="K136" s="845"/>
      <c r="L136" s="875"/>
      <c r="M136" s="846"/>
      <c r="N136" s="846"/>
      <c r="O136" s="846"/>
      <c r="P136" s="846"/>
      <c r="Q136" s="875"/>
      <c r="R136" s="875"/>
      <c r="S136" s="875"/>
      <c r="T136" s="875"/>
      <c r="U136" s="875"/>
      <c r="V136" s="875"/>
      <c r="W136" s="875"/>
      <c r="X136" s="875"/>
    </row>
    <row r="137" spans="1:26" s="420" customFormat="1" x14ac:dyDescent="0.3">
      <c r="A137" s="859" t="s">
        <v>1001</v>
      </c>
      <c r="B137" s="859"/>
      <c r="C137" s="860" t="s">
        <v>1002</v>
      </c>
      <c r="D137" s="861"/>
      <c r="E137" s="879"/>
      <c r="F137" s="863"/>
      <c r="G137" s="863"/>
      <c r="H137" s="864"/>
      <c r="I137" s="864"/>
      <c r="J137" s="865"/>
      <c r="K137" s="865"/>
      <c r="L137" s="865"/>
      <c r="M137" s="865"/>
      <c r="N137" s="865"/>
      <c r="O137" s="865"/>
      <c r="P137" s="865"/>
      <c r="Q137" s="864"/>
      <c r="R137" s="864"/>
      <c r="S137" s="864"/>
      <c r="T137" s="877"/>
      <c r="U137" s="877"/>
      <c r="V137" s="864"/>
      <c r="W137" s="864"/>
      <c r="X137" s="864"/>
      <c r="Y137" s="418"/>
      <c r="Z137" s="419"/>
    </row>
    <row r="138" spans="1:26" s="420" customFormat="1" x14ac:dyDescent="0.3">
      <c r="A138" s="859" t="s">
        <v>1003</v>
      </c>
      <c r="B138" s="859" t="s">
        <v>1314</v>
      </c>
      <c r="C138" s="860" t="s">
        <v>1004</v>
      </c>
      <c r="D138" s="861"/>
      <c r="E138" s="879"/>
      <c r="F138" s="863"/>
      <c r="G138" s="863"/>
      <c r="H138" s="864"/>
      <c r="I138" s="864"/>
      <c r="J138" s="865"/>
      <c r="K138" s="865"/>
      <c r="L138" s="865"/>
      <c r="M138" s="865"/>
      <c r="N138" s="865"/>
      <c r="O138" s="865"/>
      <c r="P138" s="865"/>
      <c r="Q138" s="864"/>
      <c r="R138" s="864"/>
      <c r="S138" s="864"/>
      <c r="T138" s="877"/>
      <c r="U138" s="877"/>
      <c r="V138" s="864"/>
      <c r="W138" s="864"/>
      <c r="X138" s="864"/>
      <c r="Y138" s="418"/>
      <c r="Z138" s="419"/>
    </row>
    <row r="139" spans="1:26" x14ac:dyDescent="0.3">
      <c r="A139" s="873" t="s">
        <v>432</v>
      </c>
      <c r="B139" s="873" t="s">
        <v>1314</v>
      </c>
      <c r="C139" s="874" t="s">
        <v>433</v>
      </c>
      <c r="D139" s="869">
        <v>800</v>
      </c>
      <c r="E139" s="851">
        <v>800</v>
      </c>
      <c r="F139" s="870">
        <v>800</v>
      </c>
      <c r="G139" s="843">
        <f>F139*1/12</f>
        <v>66.666666666666671</v>
      </c>
      <c r="H139" s="875">
        <v>0</v>
      </c>
      <c r="I139" s="845">
        <f t="shared" si="18"/>
        <v>133.33333333333334</v>
      </c>
      <c r="J139" s="846">
        <v>0</v>
      </c>
      <c r="K139" s="847">
        <f>F139*3/12</f>
        <v>200</v>
      </c>
      <c r="L139" s="846">
        <v>0</v>
      </c>
      <c r="M139" s="846"/>
      <c r="N139" s="846"/>
      <c r="O139" s="846"/>
      <c r="P139" s="846"/>
      <c r="Q139" s="846"/>
      <c r="R139" s="846"/>
      <c r="S139" s="846"/>
      <c r="T139" s="846"/>
      <c r="U139" s="846"/>
      <c r="V139" s="846"/>
      <c r="W139" s="846"/>
      <c r="X139" s="846"/>
    </row>
    <row r="140" spans="1:26" x14ac:dyDescent="0.3">
      <c r="A140" s="873" t="s">
        <v>435</v>
      </c>
      <c r="B140" s="873" t="s">
        <v>1314</v>
      </c>
      <c r="C140" s="874" t="s">
        <v>436</v>
      </c>
      <c r="D140" s="869">
        <v>500</v>
      </c>
      <c r="E140" s="880">
        <v>595</v>
      </c>
      <c r="F140" s="870">
        <v>500</v>
      </c>
      <c r="G140" s="843">
        <f>F140*1/12</f>
        <v>41.666666666666664</v>
      </c>
      <c r="H140" s="875">
        <v>0</v>
      </c>
      <c r="I140" s="845">
        <f t="shared" si="18"/>
        <v>83.333333333333329</v>
      </c>
      <c r="J140" s="846">
        <v>0</v>
      </c>
      <c r="K140" s="847">
        <f>F140*3/12</f>
        <v>125</v>
      </c>
      <c r="L140" s="846">
        <v>0</v>
      </c>
      <c r="M140" s="846"/>
      <c r="N140" s="881"/>
      <c r="O140" s="881"/>
      <c r="P140" s="881"/>
      <c r="Q140" s="881"/>
      <c r="R140" s="881"/>
      <c r="S140" s="881"/>
      <c r="T140" s="881"/>
      <c r="U140" s="881"/>
      <c r="V140" s="881"/>
      <c r="W140" s="881"/>
      <c r="X140" s="846"/>
    </row>
    <row r="141" spans="1:26" s="420" customFormat="1" x14ac:dyDescent="0.3">
      <c r="A141" s="859" t="s">
        <v>1005</v>
      </c>
      <c r="B141" s="859"/>
      <c r="C141" s="860" t="s">
        <v>1006</v>
      </c>
      <c r="D141" s="861"/>
      <c r="E141" s="882"/>
      <c r="F141" s="863"/>
      <c r="G141" s="863"/>
      <c r="H141" s="864"/>
      <c r="I141" s="864"/>
      <c r="J141" s="865"/>
      <c r="K141" s="865"/>
      <c r="L141" s="865"/>
      <c r="M141" s="883"/>
      <c r="N141" s="883"/>
      <c r="O141" s="865"/>
      <c r="P141" s="865"/>
      <c r="Q141" s="865"/>
      <c r="R141" s="865"/>
      <c r="S141" s="865"/>
      <c r="T141" s="866"/>
      <c r="U141" s="866"/>
      <c r="V141" s="866"/>
      <c r="W141" s="865"/>
      <c r="X141" s="865"/>
      <c r="Y141" s="418"/>
      <c r="Z141" s="419"/>
    </row>
    <row r="142" spans="1:26" x14ac:dyDescent="0.3">
      <c r="A142" s="873" t="s">
        <v>438</v>
      </c>
      <c r="B142" s="873" t="s">
        <v>1315</v>
      </c>
      <c r="C142" s="874" t="s">
        <v>1007</v>
      </c>
      <c r="D142" s="869">
        <v>300</v>
      </c>
      <c r="E142" s="880">
        <v>504.35</v>
      </c>
      <c r="F142" s="870">
        <v>300</v>
      </c>
      <c r="G142" s="843">
        <f>F142*1/12</f>
        <v>25</v>
      </c>
      <c r="H142" s="875">
        <v>0</v>
      </c>
      <c r="I142" s="845">
        <f t="shared" si="18"/>
        <v>50</v>
      </c>
      <c r="J142" s="846">
        <v>0</v>
      </c>
      <c r="K142" s="847">
        <f>F142*3/12</f>
        <v>75</v>
      </c>
      <c r="L142" s="846">
        <v>0</v>
      </c>
      <c r="M142" s="881"/>
      <c r="N142" s="881"/>
      <c r="O142" s="881"/>
      <c r="P142" s="881"/>
      <c r="Q142" s="881"/>
      <c r="R142" s="881"/>
      <c r="S142" s="881"/>
      <c r="T142" s="881"/>
      <c r="U142" s="881"/>
      <c r="V142" s="881"/>
      <c r="W142" s="881"/>
      <c r="X142" s="846"/>
    </row>
    <row r="143" spans="1:26" x14ac:dyDescent="0.3">
      <c r="A143" s="873" t="s">
        <v>441</v>
      </c>
      <c r="B143" s="873" t="s">
        <v>1315</v>
      </c>
      <c r="C143" s="874" t="s">
        <v>1008</v>
      </c>
      <c r="D143" s="869">
        <v>0</v>
      </c>
      <c r="E143" s="851">
        <v>8062.25</v>
      </c>
      <c r="F143" s="870">
        <v>0</v>
      </c>
      <c r="G143" s="843">
        <f>F143*1/12</f>
        <v>0</v>
      </c>
      <c r="H143" s="875">
        <v>0</v>
      </c>
      <c r="I143" s="845">
        <f t="shared" si="18"/>
        <v>0</v>
      </c>
      <c r="J143" s="846">
        <v>0</v>
      </c>
      <c r="K143" s="847">
        <f t="shared" ref="K143:K179" si="19">F143*3/12</f>
        <v>0</v>
      </c>
      <c r="L143" s="846">
        <v>0</v>
      </c>
      <c r="M143" s="881"/>
      <c r="N143" s="881"/>
      <c r="O143" s="881"/>
      <c r="P143" s="881"/>
      <c r="Q143" s="881"/>
      <c r="R143" s="881"/>
      <c r="S143" s="881"/>
      <c r="T143" s="846"/>
      <c r="U143" s="846"/>
      <c r="V143" s="846"/>
      <c r="W143" s="846"/>
      <c r="X143" s="846"/>
    </row>
    <row r="144" spans="1:26" x14ac:dyDescent="0.3">
      <c r="A144" s="873" t="s">
        <v>1009</v>
      </c>
      <c r="B144" s="873" t="s">
        <v>1315</v>
      </c>
      <c r="C144" s="874" t="s">
        <v>1010</v>
      </c>
      <c r="D144" s="869">
        <v>100</v>
      </c>
      <c r="E144" s="880">
        <v>312</v>
      </c>
      <c r="F144" s="870">
        <v>100</v>
      </c>
      <c r="G144" s="843">
        <f>F144*1/12</f>
        <v>8.3333333333333339</v>
      </c>
      <c r="H144" s="846">
        <v>0</v>
      </c>
      <c r="I144" s="845">
        <f t="shared" si="18"/>
        <v>16.666666666666668</v>
      </c>
      <c r="J144" s="846">
        <v>0</v>
      </c>
      <c r="K144" s="847">
        <f t="shared" si="19"/>
        <v>25</v>
      </c>
      <c r="L144" s="846">
        <v>0</v>
      </c>
      <c r="M144" s="881"/>
      <c r="N144" s="881"/>
      <c r="O144" s="881"/>
      <c r="P144" s="881"/>
      <c r="Q144" s="881"/>
      <c r="R144" s="881"/>
      <c r="S144" s="881"/>
      <c r="T144" s="881"/>
      <c r="U144" s="881"/>
      <c r="V144" s="881"/>
      <c r="W144" s="881"/>
      <c r="X144" s="846"/>
    </row>
    <row r="145" spans="1:26" s="420" customFormat="1" x14ac:dyDescent="0.3">
      <c r="A145" s="859" t="s">
        <v>1011</v>
      </c>
      <c r="B145" s="859"/>
      <c r="C145" s="860" t="s">
        <v>1012</v>
      </c>
      <c r="D145" s="861"/>
      <c r="E145" s="882"/>
      <c r="F145" s="863"/>
      <c r="G145" s="863"/>
      <c r="H145" s="864"/>
      <c r="I145" s="864"/>
      <c r="J145" s="865"/>
      <c r="K145" s="865"/>
      <c r="L145" s="865"/>
      <c r="M145" s="865"/>
      <c r="N145" s="865"/>
      <c r="O145" s="865"/>
      <c r="P145" s="865"/>
      <c r="Q145" s="865"/>
      <c r="R145" s="865"/>
      <c r="S145" s="865"/>
      <c r="T145" s="865"/>
      <c r="U145" s="865"/>
      <c r="V145" s="865"/>
      <c r="W145" s="865"/>
      <c r="X145" s="865"/>
      <c r="Y145" s="418"/>
      <c r="Z145" s="419"/>
    </row>
    <row r="146" spans="1:26" x14ac:dyDescent="0.3">
      <c r="A146" s="873" t="s">
        <v>450</v>
      </c>
      <c r="B146" s="873" t="s">
        <v>1316</v>
      </c>
      <c r="C146" s="874" t="s">
        <v>1013</v>
      </c>
      <c r="D146" s="869">
        <v>0</v>
      </c>
      <c r="E146" s="878">
        <v>0</v>
      </c>
      <c r="F146" s="870">
        <v>0</v>
      </c>
      <c r="G146" s="843">
        <f>F146*1/12</f>
        <v>0</v>
      </c>
      <c r="H146" s="875">
        <v>0</v>
      </c>
      <c r="I146" s="845">
        <f t="shared" si="18"/>
        <v>0</v>
      </c>
      <c r="J146" s="846">
        <v>0</v>
      </c>
      <c r="K146" s="847">
        <f t="shared" si="19"/>
        <v>0</v>
      </c>
      <c r="L146" s="846">
        <v>0</v>
      </c>
      <c r="M146" s="846"/>
      <c r="N146" s="846"/>
      <c r="O146" s="846"/>
      <c r="P146" s="846"/>
      <c r="Q146" s="846"/>
      <c r="R146" s="875"/>
      <c r="S146" s="875"/>
      <c r="T146" s="875"/>
      <c r="U146" s="875"/>
      <c r="V146" s="875"/>
      <c r="W146" s="875"/>
      <c r="X146" s="875"/>
    </row>
    <row r="147" spans="1:26" x14ac:dyDescent="0.3">
      <c r="A147" s="873" t="s">
        <v>447</v>
      </c>
      <c r="B147" s="873" t="s">
        <v>1316</v>
      </c>
      <c r="C147" s="874" t="s">
        <v>1014</v>
      </c>
      <c r="D147" s="869">
        <v>0</v>
      </c>
      <c r="E147" s="878">
        <v>0</v>
      </c>
      <c r="F147" s="870">
        <v>0</v>
      </c>
      <c r="G147" s="843">
        <f>F147*1/12</f>
        <v>0</v>
      </c>
      <c r="H147" s="875">
        <v>0</v>
      </c>
      <c r="I147" s="845">
        <f t="shared" si="18"/>
        <v>0</v>
      </c>
      <c r="J147" s="846">
        <v>0</v>
      </c>
      <c r="K147" s="847">
        <f t="shared" si="19"/>
        <v>0</v>
      </c>
      <c r="L147" s="846">
        <v>0</v>
      </c>
      <c r="M147" s="846"/>
      <c r="N147" s="846"/>
      <c r="O147" s="846"/>
      <c r="P147" s="846"/>
      <c r="Q147" s="846"/>
      <c r="R147" s="875"/>
      <c r="S147" s="875"/>
      <c r="T147" s="875"/>
      <c r="U147" s="875"/>
      <c r="V147" s="875"/>
      <c r="W147" s="875"/>
      <c r="X147" s="875"/>
    </row>
    <row r="148" spans="1:26" x14ac:dyDescent="0.3">
      <c r="A148" s="873" t="s">
        <v>1015</v>
      </c>
      <c r="B148" s="873" t="s">
        <v>1316</v>
      </c>
      <c r="C148" s="874" t="s">
        <v>457</v>
      </c>
      <c r="D148" s="869">
        <v>0</v>
      </c>
      <c r="E148" s="880">
        <v>29218</v>
      </c>
      <c r="F148" s="870">
        <v>0</v>
      </c>
      <c r="G148" s="843">
        <f>F148*1/12</f>
        <v>0</v>
      </c>
      <c r="H148" s="846">
        <v>0</v>
      </c>
      <c r="I148" s="845">
        <f t="shared" si="18"/>
        <v>0</v>
      </c>
      <c r="J148" s="846">
        <v>0</v>
      </c>
      <c r="K148" s="847">
        <f t="shared" si="19"/>
        <v>0</v>
      </c>
      <c r="L148" s="846">
        <v>0</v>
      </c>
      <c r="M148" s="881"/>
      <c r="N148" s="881"/>
      <c r="O148" s="881"/>
      <c r="P148" s="881"/>
      <c r="Q148" s="881"/>
      <c r="R148" s="881"/>
      <c r="S148" s="881"/>
      <c r="T148" s="881"/>
      <c r="U148" s="881"/>
      <c r="V148" s="881"/>
      <c r="W148" s="881"/>
      <c r="X148" s="875"/>
    </row>
    <row r="149" spans="1:26" x14ac:dyDescent="0.3">
      <c r="A149" s="873" t="s">
        <v>453</v>
      </c>
      <c r="B149" s="873" t="s">
        <v>1316</v>
      </c>
      <c r="C149" s="874" t="s">
        <v>454</v>
      </c>
      <c r="D149" s="869">
        <v>0</v>
      </c>
      <c r="E149" s="880">
        <v>19.95</v>
      </c>
      <c r="F149" s="870">
        <v>0</v>
      </c>
      <c r="G149" s="843">
        <f>F149*1/12</f>
        <v>0</v>
      </c>
      <c r="H149" s="846">
        <v>0</v>
      </c>
      <c r="I149" s="845">
        <f t="shared" si="18"/>
        <v>0</v>
      </c>
      <c r="J149" s="846">
        <v>0</v>
      </c>
      <c r="K149" s="847">
        <f t="shared" si="19"/>
        <v>0</v>
      </c>
      <c r="L149" s="846">
        <v>0</v>
      </c>
      <c r="M149" s="881"/>
      <c r="N149" s="881"/>
      <c r="O149" s="881"/>
      <c r="P149" s="881"/>
      <c r="Q149" s="881"/>
      <c r="R149" s="881"/>
      <c r="S149" s="881"/>
      <c r="T149" s="881"/>
      <c r="U149" s="881"/>
      <c r="V149" s="881"/>
      <c r="W149" s="881"/>
      <c r="X149" s="875"/>
    </row>
    <row r="150" spans="1:26" s="420" customFormat="1" x14ac:dyDescent="0.3">
      <c r="A150" s="859" t="s">
        <v>1016</v>
      </c>
      <c r="B150" s="859"/>
      <c r="C150" s="860" t="s">
        <v>1017</v>
      </c>
      <c r="D150" s="861"/>
      <c r="E150" s="879"/>
      <c r="F150" s="863"/>
      <c r="G150" s="863"/>
      <c r="H150" s="864"/>
      <c r="I150" s="864"/>
      <c r="J150" s="864"/>
      <c r="K150" s="865"/>
      <c r="L150" s="864"/>
      <c r="M150" s="864"/>
      <c r="N150" s="864"/>
      <c r="O150" s="864"/>
      <c r="P150" s="864"/>
      <c r="Q150" s="864"/>
      <c r="R150" s="864"/>
      <c r="S150" s="864"/>
      <c r="T150" s="864"/>
      <c r="U150" s="864"/>
      <c r="V150" s="864"/>
      <c r="W150" s="864"/>
      <c r="X150" s="864"/>
      <c r="Y150" s="418"/>
      <c r="Z150" s="419"/>
    </row>
    <row r="151" spans="1:26" x14ac:dyDescent="0.3">
      <c r="A151" s="873" t="s">
        <v>1018</v>
      </c>
      <c r="B151" s="873" t="s">
        <v>1018</v>
      </c>
      <c r="C151" s="874" t="s">
        <v>1019</v>
      </c>
      <c r="D151" s="869">
        <v>250</v>
      </c>
      <c r="E151" s="851">
        <v>40</v>
      </c>
      <c r="F151" s="870">
        <v>250</v>
      </c>
      <c r="G151" s="843">
        <f t="shared" ref="G151:G156" si="20">F151*1/12</f>
        <v>20.833333333333332</v>
      </c>
      <c r="H151" s="846">
        <v>0</v>
      </c>
      <c r="I151" s="845">
        <f t="shared" si="18"/>
        <v>41.666666666666664</v>
      </c>
      <c r="J151" s="846">
        <v>0</v>
      </c>
      <c r="K151" s="847">
        <f t="shared" si="19"/>
        <v>62.5</v>
      </c>
      <c r="L151" s="846">
        <v>0</v>
      </c>
      <c r="M151" s="846"/>
      <c r="N151" s="846"/>
      <c r="O151" s="846"/>
      <c r="P151" s="846"/>
      <c r="Q151" s="846"/>
      <c r="R151" s="846"/>
      <c r="S151" s="846"/>
      <c r="T151" s="846"/>
      <c r="U151" s="846"/>
      <c r="V151" s="846"/>
      <c r="W151" s="846"/>
      <c r="X151" s="846"/>
    </row>
    <row r="152" spans="1:26" x14ac:dyDescent="0.3">
      <c r="A152" s="873" t="s">
        <v>1020</v>
      </c>
      <c r="B152" s="873" t="s">
        <v>1020</v>
      </c>
      <c r="C152" s="874" t="s">
        <v>1021</v>
      </c>
      <c r="D152" s="869">
        <v>1000</v>
      </c>
      <c r="E152" s="851">
        <v>130.19999999999999</v>
      </c>
      <c r="F152" s="870">
        <v>1000</v>
      </c>
      <c r="G152" s="843">
        <f t="shared" si="20"/>
        <v>83.333333333333329</v>
      </c>
      <c r="H152" s="846">
        <v>0</v>
      </c>
      <c r="I152" s="845">
        <f t="shared" si="18"/>
        <v>166.66666666666666</v>
      </c>
      <c r="J152" s="846">
        <v>0</v>
      </c>
      <c r="K152" s="847">
        <f t="shared" si="19"/>
        <v>250</v>
      </c>
      <c r="L152" s="846">
        <v>0</v>
      </c>
      <c r="M152" s="846"/>
      <c r="N152" s="846"/>
      <c r="O152" s="846"/>
      <c r="P152" s="846"/>
      <c r="Q152" s="846"/>
      <c r="R152" s="846"/>
      <c r="S152" s="846"/>
      <c r="T152" s="846"/>
      <c r="U152" s="846"/>
      <c r="V152" s="846"/>
      <c r="W152" s="846"/>
      <c r="X152" s="846"/>
    </row>
    <row r="153" spans="1:26" x14ac:dyDescent="0.3">
      <c r="A153" s="873" t="s">
        <v>1022</v>
      </c>
      <c r="B153" s="873" t="s">
        <v>1022</v>
      </c>
      <c r="C153" s="874" t="s">
        <v>1023</v>
      </c>
      <c r="D153" s="869">
        <v>5000</v>
      </c>
      <c r="E153" s="851">
        <v>4462.2</v>
      </c>
      <c r="F153" s="870">
        <v>5000</v>
      </c>
      <c r="G153" s="843">
        <f t="shared" si="20"/>
        <v>416.66666666666669</v>
      </c>
      <c r="H153" s="846">
        <v>0</v>
      </c>
      <c r="I153" s="845">
        <f t="shared" si="18"/>
        <v>833.33333333333337</v>
      </c>
      <c r="J153" s="846">
        <v>0</v>
      </c>
      <c r="K153" s="847">
        <f t="shared" si="19"/>
        <v>1250</v>
      </c>
      <c r="L153" s="846">
        <v>0</v>
      </c>
      <c r="M153" s="846"/>
      <c r="N153" s="846"/>
      <c r="O153" s="846"/>
      <c r="P153" s="846"/>
      <c r="Q153" s="846"/>
      <c r="R153" s="846"/>
      <c r="S153" s="846"/>
      <c r="T153" s="846"/>
      <c r="U153" s="846"/>
      <c r="V153" s="846"/>
      <c r="W153" s="846"/>
      <c r="X153" s="846"/>
    </row>
    <row r="154" spans="1:26" x14ac:dyDescent="0.3">
      <c r="A154" s="873" t="s">
        <v>1024</v>
      </c>
      <c r="B154" s="873" t="s">
        <v>1024</v>
      </c>
      <c r="C154" s="874" t="s">
        <v>1025</v>
      </c>
      <c r="D154" s="869">
        <v>500</v>
      </c>
      <c r="E154" s="851">
        <v>468</v>
      </c>
      <c r="F154" s="870">
        <v>500</v>
      </c>
      <c r="G154" s="843">
        <f t="shared" si="20"/>
        <v>41.666666666666664</v>
      </c>
      <c r="H154" s="846">
        <v>39</v>
      </c>
      <c r="I154" s="845">
        <f t="shared" si="18"/>
        <v>83.333333333333329</v>
      </c>
      <c r="J154" s="846">
        <v>78</v>
      </c>
      <c r="K154" s="847">
        <f t="shared" si="19"/>
        <v>125</v>
      </c>
      <c r="L154" s="846">
        <v>78</v>
      </c>
      <c r="M154" s="846"/>
      <c r="N154" s="846"/>
      <c r="O154" s="846"/>
      <c r="P154" s="846"/>
      <c r="Q154" s="846"/>
      <c r="R154" s="846"/>
      <c r="S154" s="846"/>
      <c r="T154" s="846"/>
      <c r="U154" s="846"/>
      <c r="V154" s="846"/>
      <c r="W154" s="846"/>
      <c r="X154" s="846"/>
    </row>
    <row r="155" spans="1:26" x14ac:dyDescent="0.3">
      <c r="A155" s="873" t="s">
        <v>1026</v>
      </c>
      <c r="B155" s="873" t="s">
        <v>1020</v>
      </c>
      <c r="C155" s="874" t="s">
        <v>1027</v>
      </c>
      <c r="D155" s="869">
        <v>1500</v>
      </c>
      <c r="E155" s="851">
        <v>0</v>
      </c>
      <c r="F155" s="870">
        <v>1500</v>
      </c>
      <c r="G155" s="843">
        <f t="shared" si="20"/>
        <v>125</v>
      </c>
      <c r="H155" s="846">
        <v>0</v>
      </c>
      <c r="I155" s="845">
        <f t="shared" si="18"/>
        <v>250</v>
      </c>
      <c r="J155" s="846">
        <v>0</v>
      </c>
      <c r="K155" s="847">
        <f t="shared" si="19"/>
        <v>375</v>
      </c>
      <c r="L155" s="846">
        <v>0</v>
      </c>
      <c r="M155" s="846"/>
      <c r="N155" s="846"/>
      <c r="O155" s="846"/>
      <c r="P155" s="846"/>
      <c r="Q155" s="846"/>
      <c r="R155" s="846"/>
      <c r="S155" s="846"/>
      <c r="T155" s="846"/>
      <c r="U155" s="846"/>
      <c r="V155" s="846"/>
      <c r="W155" s="846"/>
      <c r="X155" s="847"/>
    </row>
    <row r="156" spans="1:26" x14ac:dyDescent="0.3">
      <c r="A156" s="873" t="s">
        <v>1028</v>
      </c>
      <c r="B156" s="873" t="s">
        <v>1024</v>
      </c>
      <c r="C156" s="874" t="s">
        <v>1029</v>
      </c>
      <c r="D156" s="869">
        <v>500</v>
      </c>
      <c r="E156" s="851">
        <v>0</v>
      </c>
      <c r="F156" s="870">
        <v>500</v>
      </c>
      <c r="G156" s="843">
        <f t="shared" si="20"/>
        <v>41.666666666666664</v>
      </c>
      <c r="H156" s="846">
        <v>0</v>
      </c>
      <c r="I156" s="845">
        <f t="shared" si="18"/>
        <v>83.333333333333329</v>
      </c>
      <c r="J156" s="846">
        <v>0</v>
      </c>
      <c r="K156" s="847">
        <f t="shared" si="19"/>
        <v>125</v>
      </c>
      <c r="L156" s="846">
        <v>0</v>
      </c>
      <c r="M156" s="846"/>
      <c r="N156" s="846"/>
      <c r="O156" s="846"/>
      <c r="P156" s="846"/>
      <c r="Q156" s="846"/>
      <c r="R156" s="846"/>
      <c r="S156" s="846"/>
      <c r="T156" s="846"/>
      <c r="U156" s="846"/>
      <c r="V156" s="846"/>
      <c r="W156" s="846"/>
      <c r="X156" s="847"/>
    </row>
    <row r="157" spans="1:26" x14ac:dyDescent="0.3">
      <c r="A157" s="884" t="s">
        <v>1030</v>
      </c>
      <c r="B157" s="885" t="s">
        <v>1317</v>
      </c>
      <c r="C157" s="886" t="s">
        <v>1031</v>
      </c>
      <c r="D157" s="861"/>
      <c r="E157" s="882"/>
      <c r="F157" s="863"/>
      <c r="G157" s="863"/>
      <c r="H157" s="877"/>
      <c r="I157" s="864"/>
      <c r="J157" s="887"/>
      <c r="K157" s="865"/>
      <c r="L157" s="887"/>
      <c r="M157" s="887"/>
      <c r="N157" s="887"/>
      <c r="O157" s="866"/>
      <c r="P157" s="866"/>
      <c r="Q157" s="866"/>
      <c r="R157" s="865"/>
      <c r="S157" s="865"/>
      <c r="T157" s="865"/>
      <c r="U157" s="865"/>
      <c r="V157" s="865"/>
      <c r="W157" s="865"/>
      <c r="X157" s="865"/>
    </row>
    <row r="158" spans="1:26" s="420" customFormat="1" x14ac:dyDescent="0.3">
      <c r="A158" s="859" t="s">
        <v>1032</v>
      </c>
      <c r="B158" s="859"/>
      <c r="C158" s="860" t="s">
        <v>1033</v>
      </c>
      <c r="D158" s="861"/>
      <c r="E158" s="879"/>
      <c r="F158" s="863"/>
      <c r="G158" s="863"/>
      <c r="H158" s="864"/>
      <c r="I158" s="864"/>
      <c r="J158" s="864"/>
      <c r="K158" s="865"/>
      <c r="L158" s="864"/>
      <c r="M158" s="864"/>
      <c r="N158" s="864"/>
      <c r="O158" s="864"/>
      <c r="P158" s="864"/>
      <c r="Q158" s="864"/>
      <c r="R158" s="864"/>
      <c r="S158" s="864"/>
      <c r="T158" s="864"/>
      <c r="U158" s="864"/>
      <c r="V158" s="864"/>
      <c r="W158" s="864"/>
      <c r="X158" s="864"/>
      <c r="Y158" s="418"/>
      <c r="Z158" s="419"/>
    </row>
    <row r="159" spans="1:26" x14ac:dyDescent="0.3">
      <c r="A159" s="873" t="s">
        <v>1034</v>
      </c>
      <c r="B159" s="873" t="s">
        <v>1318</v>
      </c>
      <c r="C159" s="874" t="s">
        <v>1035</v>
      </c>
      <c r="D159" s="869">
        <v>200</v>
      </c>
      <c r="E159" s="878">
        <v>0</v>
      </c>
      <c r="F159" s="870">
        <v>200</v>
      </c>
      <c r="G159" s="843">
        <f t="shared" ref="G159:G164" si="21">F159*1/12</f>
        <v>16.666666666666668</v>
      </c>
      <c r="H159" s="875">
        <v>0</v>
      </c>
      <c r="I159" s="845">
        <f t="shared" si="18"/>
        <v>33.333333333333336</v>
      </c>
      <c r="J159" s="875">
        <v>0</v>
      </c>
      <c r="K159" s="847">
        <f t="shared" si="19"/>
        <v>50</v>
      </c>
      <c r="L159" s="875">
        <v>0</v>
      </c>
      <c r="M159" s="875"/>
      <c r="N159" s="875"/>
      <c r="O159" s="875"/>
      <c r="P159" s="875"/>
      <c r="Q159" s="875"/>
      <c r="R159" s="875"/>
      <c r="S159" s="875"/>
      <c r="T159" s="875"/>
      <c r="U159" s="875"/>
      <c r="V159" s="875"/>
      <c r="W159" s="875"/>
      <c r="X159" s="875"/>
    </row>
    <row r="160" spans="1:26" x14ac:dyDescent="0.3">
      <c r="A160" s="873" t="s">
        <v>1036</v>
      </c>
      <c r="B160" s="873" t="s">
        <v>1318</v>
      </c>
      <c r="C160" s="874" t="s">
        <v>1037</v>
      </c>
      <c r="D160" s="869">
        <v>1500</v>
      </c>
      <c r="E160" s="878">
        <v>0</v>
      </c>
      <c r="F160" s="870">
        <v>1500</v>
      </c>
      <c r="G160" s="843">
        <f t="shared" si="21"/>
        <v>125</v>
      </c>
      <c r="H160" s="875">
        <v>0</v>
      </c>
      <c r="I160" s="845">
        <f t="shared" si="18"/>
        <v>250</v>
      </c>
      <c r="J160" s="875">
        <v>0</v>
      </c>
      <c r="K160" s="847">
        <f t="shared" si="19"/>
        <v>375</v>
      </c>
      <c r="L160" s="875">
        <v>0</v>
      </c>
      <c r="M160" s="875"/>
      <c r="N160" s="875"/>
      <c r="O160" s="875"/>
      <c r="P160" s="875"/>
      <c r="Q160" s="875"/>
      <c r="R160" s="875"/>
      <c r="S160" s="875"/>
      <c r="T160" s="875"/>
      <c r="U160" s="875"/>
      <c r="V160" s="875"/>
      <c r="W160" s="875"/>
      <c r="X160" s="875"/>
    </row>
    <row r="161" spans="1:26" x14ac:dyDescent="0.3">
      <c r="A161" s="873" t="s">
        <v>1038</v>
      </c>
      <c r="B161" s="873" t="s">
        <v>1318</v>
      </c>
      <c r="C161" s="874" t="s">
        <v>1039</v>
      </c>
      <c r="D161" s="869">
        <v>2500</v>
      </c>
      <c r="E161" s="878">
        <v>0</v>
      </c>
      <c r="F161" s="870">
        <v>2500</v>
      </c>
      <c r="G161" s="843">
        <f t="shared" si="21"/>
        <v>208.33333333333334</v>
      </c>
      <c r="H161" s="875">
        <v>0</v>
      </c>
      <c r="I161" s="845">
        <f t="shared" si="18"/>
        <v>416.66666666666669</v>
      </c>
      <c r="J161" s="875">
        <v>0</v>
      </c>
      <c r="K161" s="847">
        <f t="shared" si="19"/>
        <v>625</v>
      </c>
      <c r="L161" s="875">
        <v>0</v>
      </c>
      <c r="M161" s="875"/>
      <c r="N161" s="875"/>
      <c r="O161" s="875"/>
      <c r="P161" s="875"/>
      <c r="Q161" s="875"/>
      <c r="R161" s="875"/>
      <c r="S161" s="875"/>
      <c r="T161" s="875"/>
      <c r="U161" s="875"/>
      <c r="V161" s="875"/>
      <c r="W161" s="875"/>
      <c r="X161" s="875"/>
    </row>
    <row r="162" spans="1:26" x14ac:dyDescent="0.3">
      <c r="A162" s="873" t="s">
        <v>1040</v>
      </c>
      <c r="B162" s="873" t="s">
        <v>1318</v>
      </c>
      <c r="C162" s="874" t="s">
        <v>1041</v>
      </c>
      <c r="D162" s="869">
        <v>2500</v>
      </c>
      <c r="E162" s="878">
        <v>0</v>
      </c>
      <c r="F162" s="870">
        <v>2500</v>
      </c>
      <c r="G162" s="843">
        <f t="shared" si="21"/>
        <v>208.33333333333334</v>
      </c>
      <c r="H162" s="875">
        <v>0</v>
      </c>
      <c r="I162" s="845">
        <f t="shared" si="18"/>
        <v>416.66666666666669</v>
      </c>
      <c r="J162" s="875">
        <v>0</v>
      </c>
      <c r="K162" s="847">
        <f t="shared" si="19"/>
        <v>625</v>
      </c>
      <c r="L162" s="875">
        <v>0</v>
      </c>
      <c r="M162" s="875"/>
      <c r="N162" s="875"/>
      <c r="O162" s="875"/>
      <c r="P162" s="875"/>
      <c r="Q162" s="875"/>
      <c r="R162" s="875"/>
      <c r="S162" s="875"/>
      <c r="T162" s="875"/>
      <c r="U162" s="875"/>
      <c r="V162" s="875"/>
      <c r="W162" s="875"/>
      <c r="X162" s="875"/>
    </row>
    <row r="163" spans="1:26" x14ac:dyDescent="0.3">
      <c r="A163" s="873" t="s">
        <v>1042</v>
      </c>
      <c r="B163" s="873" t="s">
        <v>1318</v>
      </c>
      <c r="C163" s="874" t="s">
        <v>1043</v>
      </c>
      <c r="D163" s="869">
        <v>10000</v>
      </c>
      <c r="E163" s="878">
        <v>0</v>
      </c>
      <c r="F163" s="870">
        <v>10000</v>
      </c>
      <c r="G163" s="843">
        <f t="shared" si="21"/>
        <v>833.33333333333337</v>
      </c>
      <c r="H163" s="875">
        <v>0</v>
      </c>
      <c r="I163" s="845">
        <f t="shared" si="18"/>
        <v>1666.6666666666667</v>
      </c>
      <c r="J163" s="875">
        <v>0</v>
      </c>
      <c r="K163" s="847">
        <f t="shared" si="19"/>
        <v>2500</v>
      </c>
      <c r="L163" s="875">
        <v>0</v>
      </c>
      <c r="M163" s="875"/>
      <c r="N163" s="875"/>
      <c r="O163" s="875"/>
      <c r="P163" s="875"/>
      <c r="Q163" s="875"/>
      <c r="R163" s="875"/>
      <c r="S163" s="875"/>
      <c r="T163" s="875"/>
      <c r="U163" s="875"/>
      <c r="V163" s="875"/>
      <c r="W163" s="875"/>
      <c r="X163" s="875"/>
    </row>
    <row r="164" spans="1:26" x14ac:dyDescent="0.3">
      <c r="A164" s="873" t="s">
        <v>1044</v>
      </c>
      <c r="B164" s="873" t="s">
        <v>1318</v>
      </c>
      <c r="C164" s="874" t="s">
        <v>1045</v>
      </c>
      <c r="D164" s="869">
        <v>4000</v>
      </c>
      <c r="E164" s="878">
        <v>0</v>
      </c>
      <c r="F164" s="870">
        <v>4000</v>
      </c>
      <c r="G164" s="843">
        <f t="shared" si="21"/>
        <v>333.33333333333331</v>
      </c>
      <c r="H164" s="875">
        <v>0</v>
      </c>
      <c r="I164" s="845">
        <f t="shared" si="18"/>
        <v>666.66666666666663</v>
      </c>
      <c r="J164" s="875">
        <v>0</v>
      </c>
      <c r="K164" s="847">
        <f t="shared" si="19"/>
        <v>1000</v>
      </c>
      <c r="L164" s="875">
        <v>0</v>
      </c>
      <c r="M164" s="875"/>
      <c r="N164" s="875"/>
      <c r="O164" s="875"/>
      <c r="P164" s="875"/>
      <c r="Q164" s="875"/>
      <c r="R164" s="875"/>
      <c r="S164" s="875"/>
      <c r="T164" s="875"/>
      <c r="U164" s="875"/>
      <c r="V164" s="875"/>
      <c r="W164" s="875"/>
      <c r="X164" s="875"/>
    </row>
    <row r="165" spans="1:26" s="420" customFormat="1" x14ac:dyDescent="0.3">
      <c r="A165" s="888" t="s">
        <v>1046</v>
      </c>
      <c r="B165" s="888" t="s">
        <v>1046</v>
      </c>
      <c r="C165" s="889" t="s">
        <v>670</v>
      </c>
      <c r="D165" s="861">
        <v>1000</v>
      </c>
      <c r="E165" s="876">
        <v>61</v>
      </c>
      <c r="F165" s="863">
        <v>1000</v>
      </c>
      <c r="G165" s="890">
        <f>F165*1/12</f>
        <v>83.333333333333329</v>
      </c>
      <c r="H165" s="877">
        <v>90</v>
      </c>
      <c r="I165" s="864">
        <f t="shared" si="18"/>
        <v>166.66666666666666</v>
      </c>
      <c r="J165" s="877">
        <v>90</v>
      </c>
      <c r="K165" s="865"/>
      <c r="L165" s="877">
        <v>90</v>
      </c>
      <c r="M165" s="877"/>
      <c r="N165" s="877"/>
      <c r="O165" s="877"/>
      <c r="P165" s="877"/>
      <c r="Q165" s="877"/>
      <c r="R165" s="877"/>
      <c r="S165" s="877"/>
      <c r="T165" s="877"/>
      <c r="U165" s="877"/>
      <c r="V165" s="877"/>
      <c r="W165" s="877"/>
      <c r="X165" s="877"/>
      <c r="Y165" s="418"/>
      <c r="Z165" s="419"/>
    </row>
    <row r="166" spans="1:26" x14ac:dyDescent="0.3">
      <c r="A166" s="891" t="s">
        <v>1030</v>
      </c>
      <c r="B166" s="892" t="s">
        <v>304</v>
      </c>
      <c r="C166" s="893" t="s">
        <v>1047</v>
      </c>
      <c r="D166" s="869">
        <v>0</v>
      </c>
      <c r="E166" s="878">
        <v>0</v>
      </c>
      <c r="F166" s="870">
        <v>0</v>
      </c>
      <c r="G166" s="843">
        <f>F166*1/12</f>
        <v>0</v>
      </c>
      <c r="H166" s="875">
        <v>0</v>
      </c>
      <c r="I166" s="845">
        <f t="shared" si="18"/>
        <v>0</v>
      </c>
      <c r="J166" s="875">
        <v>0</v>
      </c>
      <c r="K166" s="847">
        <f t="shared" si="19"/>
        <v>0</v>
      </c>
      <c r="L166" s="875">
        <v>0</v>
      </c>
      <c r="M166" s="875"/>
      <c r="N166" s="875"/>
      <c r="O166" s="875"/>
      <c r="P166" s="875"/>
      <c r="Q166" s="875"/>
      <c r="R166" s="875"/>
      <c r="S166" s="875"/>
      <c r="T166" s="875"/>
      <c r="U166" s="875"/>
      <c r="V166" s="875"/>
      <c r="W166" s="875"/>
      <c r="X166" s="875"/>
    </row>
    <row r="167" spans="1:26" s="533" customFormat="1" x14ac:dyDescent="0.3">
      <c r="A167" s="888" t="s">
        <v>1048</v>
      </c>
      <c r="B167" s="888" t="s">
        <v>1048</v>
      </c>
      <c r="C167" s="889" t="s">
        <v>1049</v>
      </c>
      <c r="D167" s="861">
        <v>500</v>
      </c>
      <c r="E167" s="862">
        <v>0</v>
      </c>
      <c r="F167" s="863">
        <v>500</v>
      </c>
      <c r="G167" s="890">
        <f>F167*1/12</f>
        <v>41.666666666666664</v>
      </c>
      <c r="H167" s="866">
        <v>0</v>
      </c>
      <c r="I167" s="864">
        <f t="shared" si="18"/>
        <v>83.333333333333329</v>
      </c>
      <c r="J167" s="866">
        <v>0</v>
      </c>
      <c r="K167" s="865"/>
      <c r="L167" s="866">
        <v>0</v>
      </c>
      <c r="M167" s="866"/>
      <c r="N167" s="866"/>
      <c r="O167" s="866"/>
      <c r="P167" s="866"/>
      <c r="Q167" s="866"/>
      <c r="R167" s="866"/>
      <c r="S167" s="866"/>
      <c r="T167" s="866"/>
      <c r="U167" s="866"/>
      <c r="V167" s="866"/>
      <c r="W167" s="866"/>
      <c r="X167" s="866"/>
      <c r="Y167" s="532"/>
      <c r="Z167" s="419"/>
    </row>
    <row r="168" spans="1:26" s="420" customFormat="1" x14ac:dyDescent="0.3">
      <c r="A168" s="859" t="s">
        <v>1050</v>
      </c>
      <c r="B168" s="859"/>
      <c r="C168" s="860" t="s">
        <v>1051</v>
      </c>
      <c r="D168" s="861"/>
      <c r="E168" s="879"/>
      <c r="F168" s="863"/>
      <c r="G168" s="863"/>
      <c r="H168" s="864"/>
      <c r="I168" s="877"/>
      <c r="J168" s="864"/>
      <c r="K168" s="865"/>
      <c r="L168" s="864"/>
      <c r="M168" s="864"/>
      <c r="N168" s="864"/>
      <c r="O168" s="864"/>
      <c r="P168" s="864"/>
      <c r="Q168" s="864"/>
      <c r="R168" s="864"/>
      <c r="S168" s="864"/>
      <c r="T168" s="864"/>
      <c r="U168" s="864"/>
      <c r="V168" s="864"/>
      <c r="W168" s="864"/>
      <c r="X168" s="864"/>
      <c r="Y168" s="418"/>
      <c r="Z168" s="419"/>
    </row>
    <row r="169" spans="1:26" x14ac:dyDescent="0.3">
      <c r="A169" s="873" t="s">
        <v>313</v>
      </c>
      <c r="B169" s="873" t="s">
        <v>313</v>
      </c>
      <c r="C169" s="874" t="s">
        <v>1052</v>
      </c>
      <c r="D169" s="869">
        <v>500</v>
      </c>
      <c r="E169" s="878">
        <v>0</v>
      </c>
      <c r="F169" s="870">
        <v>500</v>
      </c>
      <c r="G169" s="843">
        <f t="shared" ref="G169:G176" si="22">F169*1/12</f>
        <v>41.666666666666664</v>
      </c>
      <c r="H169" s="875">
        <v>0</v>
      </c>
      <c r="I169" s="845">
        <f t="shared" si="18"/>
        <v>83.333333333333329</v>
      </c>
      <c r="J169" s="875">
        <v>0</v>
      </c>
      <c r="K169" s="847">
        <f t="shared" si="19"/>
        <v>125</v>
      </c>
      <c r="L169" s="875">
        <v>0</v>
      </c>
      <c r="M169" s="875"/>
      <c r="N169" s="875"/>
      <c r="O169" s="875"/>
      <c r="P169" s="875"/>
      <c r="Q169" s="875"/>
      <c r="R169" s="875"/>
      <c r="S169" s="875"/>
      <c r="T169" s="875"/>
      <c r="U169" s="875"/>
      <c r="V169" s="875"/>
      <c r="W169" s="875"/>
      <c r="X169" s="875"/>
    </row>
    <row r="170" spans="1:26" x14ac:dyDescent="0.3">
      <c r="A170" s="873" t="s">
        <v>1053</v>
      </c>
      <c r="B170" s="873" t="s">
        <v>1053</v>
      </c>
      <c r="C170" s="874" t="s">
        <v>1054</v>
      </c>
      <c r="D170" s="869">
        <v>4000</v>
      </c>
      <c r="E170" s="878">
        <v>0</v>
      </c>
      <c r="F170" s="870">
        <v>4000</v>
      </c>
      <c r="G170" s="843">
        <f t="shared" si="22"/>
        <v>333.33333333333331</v>
      </c>
      <c r="H170" s="875">
        <v>0</v>
      </c>
      <c r="I170" s="845">
        <f t="shared" si="18"/>
        <v>666.66666666666663</v>
      </c>
      <c r="J170" s="875">
        <v>0</v>
      </c>
      <c r="K170" s="847">
        <f t="shared" si="19"/>
        <v>1000</v>
      </c>
      <c r="L170" s="875">
        <v>0</v>
      </c>
      <c r="M170" s="875"/>
      <c r="N170" s="875"/>
      <c r="O170" s="875"/>
      <c r="P170" s="875"/>
      <c r="Q170" s="875"/>
      <c r="R170" s="875"/>
      <c r="S170" s="875"/>
      <c r="T170" s="875"/>
      <c r="U170" s="875"/>
      <c r="V170" s="875"/>
      <c r="W170" s="875"/>
      <c r="X170" s="875"/>
    </row>
    <row r="171" spans="1:26" x14ac:dyDescent="0.3">
      <c r="A171" s="873" t="s">
        <v>1055</v>
      </c>
      <c r="B171" s="873" t="s">
        <v>1055</v>
      </c>
      <c r="C171" s="893" t="s">
        <v>1056</v>
      </c>
      <c r="D171" s="869">
        <v>4000</v>
      </c>
      <c r="E171" s="851">
        <v>330</v>
      </c>
      <c r="F171" s="870">
        <v>4000</v>
      </c>
      <c r="G171" s="843">
        <f t="shared" si="22"/>
        <v>333.33333333333331</v>
      </c>
      <c r="H171" s="875">
        <v>0</v>
      </c>
      <c r="I171" s="845">
        <f t="shared" si="18"/>
        <v>666.66666666666663</v>
      </c>
      <c r="J171" s="875">
        <v>0</v>
      </c>
      <c r="K171" s="847">
        <f t="shared" si="19"/>
        <v>1000</v>
      </c>
      <c r="L171" s="875">
        <v>0</v>
      </c>
      <c r="M171" s="875"/>
      <c r="N171" s="875"/>
      <c r="O171" s="875"/>
      <c r="P171" s="875"/>
      <c r="Q171" s="875"/>
      <c r="R171" s="875"/>
      <c r="S171" s="875"/>
      <c r="T171" s="875"/>
      <c r="U171" s="875"/>
      <c r="V171" s="846"/>
      <c r="W171" s="846"/>
      <c r="X171" s="881"/>
    </row>
    <row r="172" spans="1:26" x14ac:dyDescent="0.3">
      <c r="A172" s="873" t="s">
        <v>1057</v>
      </c>
      <c r="B172" s="873" t="s">
        <v>1057</v>
      </c>
      <c r="C172" s="874" t="s">
        <v>1058</v>
      </c>
      <c r="D172" s="869">
        <v>1000</v>
      </c>
      <c r="E172" s="878">
        <v>0</v>
      </c>
      <c r="F172" s="870">
        <v>1000</v>
      </c>
      <c r="G172" s="843">
        <f t="shared" si="22"/>
        <v>83.333333333333329</v>
      </c>
      <c r="H172" s="875">
        <v>0</v>
      </c>
      <c r="I172" s="845">
        <f t="shared" si="18"/>
        <v>166.66666666666666</v>
      </c>
      <c r="J172" s="875">
        <v>0</v>
      </c>
      <c r="K172" s="847">
        <f t="shared" si="19"/>
        <v>250</v>
      </c>
      <c r="L172" s="875">
        <v>0</v>
      </c>
      <c r="M172" s="875"/>
      <c r="N172" s="875"/>
      <c r="O172" s="875"/>
      <c r="P172" s="875"/>
      <c r="Q172" s="875"/>
      <c r="R172" s="875"/>
      <c r="S172" s="875"/>
      <c r="T172" s="875"/>
      <c r="U172" s="875"/>
      <c r="V172" s="875"/>
      <c r="W172" s="875"/>
      <c r="X172" s="875"/>
    </row>
    <row r="173" spans="1:26" x14ac:dyDescent="0.3">
      <c r="A173" s="873" t="s">
        <v>1059</v>
      </c>
      <c r="B173" s="873" t="s">
        <v>1053</v>
      </c>
      <c r="C173" s="874" t="s">
        <v>1060</v>
      </c>
      <c r="D173" s="869">
        <v>6000</v>
      </c>
      <c r="E173" s="878">
        <v>0</v>
      </c>
      <c r="F173" s="870">
        <v>6000</v>
      </c>
      <c r="G173" s="843">
        <f t="shared" si="22"/>
        <v>500</v>
      </c>
      <c r="H173" s="875">
        <v>0</v>
      </c>
      <c r="I173" s="845">
        <f t="shared" si="18"/>
        <v>1000</v>
      </c>
      <c r="J173" s="875">
        <v>0</v>
      </c>
      <c r="K173" s="847">
        <f t="shared" si="19"/>
        <v>1500</v>
      </c>
      <c r="L173" s="875">
        <v>0</v>
      </c>
      <c r="M173" s="875"/>
      <c r="N173" s="875"/>
      <c r="O173" s="875"/>
      <c r="P173" s="875"/>
      <c r="Q173" s="875"/>
      <c r="R173" s="875"/>
      <c r="S173" s="875"/>
      <c r="T173" s="875"/>
      <c r="U173" s="875"/>
      <c r="V173" s="875"/>
      <c r="W173" s="875"/>
      <c r="X173" s="875"/>
    </row>
    <row r="174" spans="1:26" x14ac:dyDescent="0.3">
      <c r="A174" s="873" t="s">
        <v>1061</v>
      </c>
      <c r="B174" s="873" t="s">
        <v>1057</v>
      </c>
      <c r="C174" s="893" t="s">
        <v>1062</v>
      </c>
      <c r="D174" s="869">
        <v>7000</v>
      </c>
      <c r="E174" s="851">
        <v>0</v>
      </c>
      <c r="F174" s="870">
        <v>7000</v>
      </c>
      <c r="G174" s="843">
        <f t="shared" si="22"/>
        <v>583.33333333333337</v>
      </c>
      <c r="H174" s="875">
        <v>0</v>
      </c>
      <c r="I174" s="845">
        <f t="shared" si="18"/>
        <v>1166.6666666666667</v>
      </c>
      <c r="J174" s="875">
        <v>0</v>
      </c>
      <c r="K174" s="847">
        <f t="shared" si="19"/>
        <v>1750</v>
      </c>
      <c r="L174" s="875">
        <v>0</v>
      </c>
      <c r="M174" s="875"/>
      <c r="N174" s="875"/>
      <c r="O174" s="875"/>
      <c r="P174" s="875"/>
      <c r="Q174" s="875"/>
      <c r="R174" s="846"/>
      <c r="S174" s="846"/>
      <c r="T174" s="846"/>
      <c r="U174" s="846"/>
      <c r="V174" s="846"/>
      <c r="W174" s="846"/>
      <c r="X174" s="881"/>
    </row>
    <row r="175" spans="1:26" x14ac:dyDescent="0.3">
      <c r="A175" s="873" t="s">
        <v>1063</v>
      </c>
      <c r="B175" s="873" t="s">
        <v>1057</v>
      </c>
      <c r="C175" s="874" t="s">
        <v>1064</v>
      </c>
      <c r="D175" s="869">
        <v>1500</v>
      </c>
      <c r="E175" s="878">
        <v>187.73</v>
      </c>
      <c r="F175" s="870">
        <v>1500</v>
      </c>
      <c r="G175" s="843">
        <f t="shared" si="22"/>
        <v>125</v>
      </c>
      <c r="H175" s="875">
        <v>0</v>
      </c>
      <c r="I175" s="845">
        <f t="shared" si="18"/>
        <v>250</v>
      </c>
      <c r="J175" s="875">
        <v>0</v>
      </c>
      <c r="K175" s="847">
        <f t="shared" si="19"/>
        <v>375</v>
      </c>
      <c r="L175" s="875">
        <v>166.48</v>
      </c>
      <c r="M175" s="875"/>
      <c r="N175" s="875"/>
      <c r="O175" s="875"/>
      <c r="P175" s="875"/>
      <c r="Q175" s="875"/>
      <c r="R175" s="875"/>
      <c r="S175" s="875"/>
      <c r="T175" s="875"/>
      <c r="U175" s="875"/>
      <c r="V175" s="875"/>
      <c r="W175" s="875"/>
      <c r="X175" s="875"/>
    </row>
    <row r="176" spans="1:26" x14ac:dyDescent="0.3">
      <c r="A176" s="873" t="s">
        <v>1065</v>
      </c>
      <c r="B176" s="873" t="s">
        <v>912</v>
      </c>
      <c r="C176" s="874" t="s">
        <v>1066</v>
      </c>
      <c r="D176" s="869">
        <v>500</v>
      </c>
      <c r="E176" s="878">
        <v>0</v>
      </c>
      <c r="F176" s="870">
        <v>500</v>
      </c>
      <c r="G176" s="843">
        <f t="shared" si="22"/>
        <v>41.666666666666664</v>
      </c>
      <c r="H176" s="875">
        <v>0</v>
      </c>
      <c r="I176" s="845">
        <f t="shared" si="18"/>
        <v>83.333333333333329</v>
      </c>
      <c r="J176" s="875">
        <v>0</v>
      </c>
      <c r="K176" s="847">
        <f t="shared" si="19"/>
        <v>125</v>
      </c>
      <c r="L176" s="875">
        <v>0</v>
      </c>
      <c r="M176" s="875"/>
      <c r="N176" s="875"/>
      <c r="O176" s="875"/>
      <c r="P176" s="875"/>
      <c r="Q176" s="875"/>
      <c r="R176" s="875"/>
      <c r="S176" s="875"/>
      <c r="T176" s="875"/>
      <c r="U176" s="875"/>
      <c r="V176" s="875"/>
      <c r="W176" s="875"/>
      <c r="X176" s="875"/>
    </row>
    <row r="177" spans="1:26" x14ac:dyDescent="0.3">
      <c r="A177" s="859" t="s">
        <v>408</v>
      </c>
      <c r="B177" s="859"/>
      <c r="C177" s="860" t="s">
        <v>1067</v>
      </c>
      <c r="D177" s="861"/>
      <c r="E177" s="876"/>
      <c r="F177" s="863"/>
      <c r="G177" s="863"/>
      <c r="H177" s="877"/>
      <c r="I177" s="877"/>
      <c r="J177" s="877"/>
      <c r="K177" s="865"/>
      <c r="L177" s="877"/>
      <c r="M177" s="877"/>
      <c r="N177" s="877"/>
      <c r="O177" s="877"/>
      <c r="P177" s="877"/>
      <c r="Q177" s="877"/>
      <c r="R177" s="877"/>
      <c r="S177" s="877"/>
      <c r="T177" s="877"/>
      <c r="U177" s="877"/>
      <c r="V177" s="877"/>
      <c r="W177" s="877"/>
      <c r="X177" s="877"/>
    </row>
    <row r="178" spans="1:26" x14ac:dyDescent="0.3">
      <c r="A178" s="873" t="s">
        <v>410</v>
      </c>
      <c r="B178" s="894"/>
      <c r="C178" s="874" t="s">
        <v>1068</v>
      </c>
      <c r="D178" s="869">
        <v>0</v>
      </c>
      <c r="E178" s="895">
        <v>0</v>
      </c>
      <c r="F178" s="870">
        <v>0</v>
      </c>
      <c r="G178" s="843">
        <f>F178*1/12</f>
        <v>0</v>
      </c>
      <c r="H178" s="896">
        <v>0</v>
      </c>
      <c r="I178" s="845">
        <f t="shared" si="18"/>
        <v>0</v>
      </c>
      <c r="J178" s="896">
        <v>0</v>
      </c>
      <c r="K178" s="847">
        <f t="shared" si="19"/>
        <v>0</v>
      </c>
      <c r="L178" s="896">
        <v>0</v>
      </c>
      <c r="M178" s="896"/>
      <c r="N178" s="896"/>
      <c r="O178" s="896"/>
      <c r="P178" s="896"/>
      <c r="Q178" s="896"/>
      <c r="R178" s="896"/>
      <c r="S178" s="896"/>
      <c r="T178" s="896"/>
      <c r="U178" s="896"/>
      <c r="V178" s="896"/>
      <c r="W178" s="896"/>
      <c r="X178" s="896"/>
    </row>
    <row r="179" spans="1:26" x14ac:dyDescent="0.3">
      <c r="A179" s="873" t="s">
        <v>413</v>
      </c>
      <c r="B179" s="894"/>
      <c r="C179" s="874" t="s">
        <v>1069</v>
      </c>
      <c r="D179" s="869">
        <v>0</v>
      </c>
      <c r="E179" s="895">
        <v>0</v>
      </c>
      <c r="F179" s="870">
        <v>0</v>
      </c>
      <c r="G179" s="843">
        <f>F179*1/12</f>
        <v>0</v>
      </c>
      <c r="H179" s="896">
        <v>0</v>
      </c>
      <c r="I179" s="845">
        <f t="shared" si="18"/>
        <v>0</v>
      </c>
      <c r="J179" s="896">
        <v>0</v>
      </c>
      <c r="K179" s="847">
        <f t="shared" si="19"/>
        <v>0</v>
      </c>
      <c r="L179" s="896">
        <v>0</v>
      </c>
      <c r="M179" s="896"/>
      <c r="N179" s="896"/>
      <c r="O179" s="896"/>
      <c r="P179" s="896"/>
      <c r="Q179" s="896"/>
      <c r="R179" s="896"/>
      <c r="S179" s="896"/>
      <c r="T179" s="896"/>
      <c r="U179" s="896"/>
      <c r="V179" s="896"/>
      <c r="W179" s="896"/>
      <c r="X179" s="896"/>
    </row>
    <row r="180" spans="1:26" x14ac:dyDescent="0.3">
      <c r="A180" s="897"/>
      <c r="B180" s="898"/>
      <c r="C180" s="899" t="s">
        <v>1070</v>
      </c>
      <c r="D180" s="900">
        <f t="shared" ref="D180:X180" si="23">SUM(D56:D179)</f>
        <v>533570</v>
      </c>
      <c r="E180" s="901">
        <f t="shared" si="23"/>
        <v>418690.32999999996</v>
      </c>
      <c r="F180" s="902">
        <f t="shared" si="23"/>
        <v>533570</v>
      </c>
      <c r="G180" s="902">
        <f t="shared" si="23"/>
        <v>44464.166666666657</v>
      </c>
      <c r="H180" s="903">
        <f t="shared" si="23"/>
        <v>3443.93</v>
      </c>
      <c r="I180" s="903">
        <f t="shared" si="23"/>
        <v>88928.333333333314</v>
      </c>
      <c r="J180" s="903">
        <f t="shared" si="23"/>
        <v>16156.46</v>
      </c>
      <c r="K180" s="903">
        <f t="shared" si="23"/>
        <v>133017.5</v>
      </c>
      <c r="L180" s="903">
        <f t="shared" si="23"/>
        <v>19675.170000000002</v>
      </c>
      <c r="M180" s="903">
        <f t="shared" si="23"/>
        <v>0</v>
      </c>
      <c r="N180" s="903">
        <f t="shared" si="23"/>
        <v>0</v>
      </c>
      <c r="O180" s="903">
        <f t="shared" si="23"/>
        <v>0</v>
      </c>
      <c r="P180" s="903">
        <f t="shared" si="23"/>
        <v>0</v>
      </c>
      <c r="Q180" s="903">
        <f t="shared" si="23"/>
        <v>0</v>
      </c>
      <c r="R180" s="903">
        <f t="shared" si="23"/>
        <v>0</v>
      </c>
      <c r="S180" s="903">
        <f t="shared" si="23"/>
        <v>0</v>
      </c>
      <c r="T180" s="903">
        <f t="shared" si="23"/>
        <v>0</v>
      </c>
      <c r="U180" s="903">
        <f t="shared" si="23"/>
        <v>0</v>
      </c>
      <c r="V180" s="903">
        <f t="shared" si="23"/>
        <v>0</v>
      </c>
      <c r="W180" s="903">
        <f t="shared" si="23"/>
        <v>0</v>
      </c>
      <c r="X180" s="903">
        <f t="shared" si="23"/>
        <v>0</v>
      </c>
    </row>
    <row r="181" spans="1:26" x14ac:dyDescent="0.3">
      <c r="A181" s="859" t="s">
        <v>1071</v>
      </c>
      <c r="B181" s="859"/>
      <c r="C181" s="860" t="s">
        <v>1072</v>
      </c>
      <c r="D181" s="861"/>
      <c r="E181" s="876"/>
      <c r="F181" s="863"/>
      <c r="G181" s="863"/>
      <c r="H181" s="877"/>
      <c r="I181" s="864"/>
      <c r="J181" s="877"/>
      <c r="K181" s="877"/>
      <c r="L181" s="877"/>
      <c r="M181" s="877"/>
      <c r="N181" s="877"/>
      <c r="O181" s="877"/>
      <c r="P181" s="877"/>
      <c r="Q181" s="877"/>
      <c r="R181" s="877"/>
      <c r="S181" s="877"/>
      <c r="T181" s="877"/>
      <c r="U181" s="877"/>
      <c r="V181" s="877"/>
      <c r="W181" s="877"/>
      <c r="X181" s="877"/>
    </row>
    <row r="182" spans="1:26" x14ac:dyDescent="0.3">
      <c r="A182" s="859" t="s">
        <v>1073</v>
      </c>
      <c r="B182" s="859"/>
      <c r="C182" s="860" t="s">
        <v>1074</v>
      </c>
      <c r="D182" s="861"/>
      <c r="E182" s="876"/>
      <c r="F182" s="863"/>
      <c r="G182" s="863"/>
      <c r="H182" s="877"/>
      <c r="I182" s="864"/>
      <c r="J182" s="877"/>
      <c r="K182" s="877"/>
      <c r="L182" s="877"/>
      <c r="M182" s="877"/>
      <c r="N182" s="877"/>
      <c r="O182" s="877"/>
      <c r="P182" s="877"/>
      <c r="Q182" s="877"/>
      <c r="R182" s="877"/>
      <c r="S182" s="877"/>
      <c r="T182" s="877"/>
      <c r="U182" s="877"/>
      <c r="V182" s="877"/>
      <c r="W182" s="877"/>
      <c r="X182" s="877"/>
    </row>
    <row r="183" spans="1:26" x14ac:dyDescent="0.3">
      <c r="A183" s="873" t="s">
        <v>1075</v>
      </c>
      <c r="B183" s="873" t="s">
        <v>1075</v>
      </c>
      <c r="C183" s="874" t="s">
        <v>1076</v>
      </c>
      <c r="D183" s="869">
        <v>0</v>
      </c>
      <c r="E183" s="878">
        <v>0</v>
      </c>
      <c r="F183" s="870">
        <v>0</v>
      </c>
      <c r="G183" s="843">
        <f t="shared" ref="G183:G190" si="24">F183*1/12</f>
        <v>0</v>
      </c>
      <c r="H183" s="875">
        <v>0</v>
      </c>
      <c r="I183" s="845">
        <f>F183*2/12</f>
        <v>0</v>
      </c>
      <c r="J183" s="875">
        <v>0</v>
      </c>
      <c r="K183" s="845">
        <f>F183*3/12</f>
        <v>0</v>
      </c>
      <c r="L183" s="875">
        <v>0</v>
      </c>
      <c r="M183" s="875"/>
      <c r="N183" s="875"/>
      <c r="O183" s="875"/>
      <c r="P183" s="875"/>
      <c r="Q183" s="875"/>
      <c r="R183" s="875"/>
      <c r="S183" s="875"/>
      <c r="T183" s="875"/>
      <c r="U183" s="875"/>
      <c r="V183" s="875"/>
      <c r="W183" s="875"/>
      <c r="X183" s="875"/>
    </row>
    <row r="184" spans="1:26" x14ac:dyDescent="0.3">
      <c r="A184" s="873" t="s">
        <v>1077</v>
      </c>
      <c r="B184" s="873" t="s">
        <v>1077</v>
      </c>
      <c r="C184" s="874" t="s">
        <v>1078</v>
      </c>
      <c r="D184" s="869">
        <v>0</v>
      </c>
      <c r="E184" s="851">
        <v>0</v>
      </c>
      <c r="F184" s="870">
        <v>0</v>
      </c>
      <c r="G184" s="843">
        <f t="shared" si="24"/>
        <v>0</v>
      </c>
      <c r="H184" s="846">
        <v>0</v>
      </c>
      <c r="I184" s="845">
        <f t="shared" ref="I184:I190" si="25">F184*2/12</f>
        <v>0</v>
      </c>
      <c r="J184" s="846">
        <v>0</v>
      </c>
      <c r="K184" s="845">
        <f t="shared" ref="K184:K190" si="26">F184*3/12</f>
        <v>0</v>
      </c>
      <c r="L184" s="846">
        <v>0</v>
      </c>
      <c r="M184" s="846"/>
      <c r="N184" s="846"/>
      <c r="O184" s="846"/>
      <c r="P184" s="846"/>
      <c r="Q184" s="846"/>
      <c r="R184" s="846"/>
      <c r="S184" s="846"/>
      <c r="T184" s="846"/>
      <c r="U184" s="846"/>
      <c r="V184" s="846"/>
      <c r="W184" s="846"/>
      <c r="X184" s="846"/>
    </row>
    <row r="185" spans="1:26" x14ac:dyDescent="0.3">
      <c r="A185" s="873" t="s">
        <v>476</v>
      </c>
      <c r="B185" s="873" t="s">
        <v>476</v>
      </c>
      <c r="C185" s="874" t="s">
        <v>1079</v>
      </c>
      <c r="D185" s="869">
        <v>200</v>
      </c>
      <c r="E185" s="851">
        <v>150</v>
      </c>
      <c r="F185" s="870">
        <v>200</v>
      </c>
      <c r="G185" s="843">
        <f t="shared" si="24"/>
        <v>16.666666666666668</v>
      </c>
      <c r="H185" s="846">
        <v>0</v>
      </c>
      <c r="I185" s="845">
        <f t="shared" si="25"/>
        <v>33.333333333333336</v>
      </c>
      <c r="J185" s="846">
        <v>0</v>
      </c>
      <c r="K185" s="845">
        <f t="shared" si="26"/>
        <v>50</v>
      </c>
      <c r="L185" s="846">
        <v>0</v>
      </c>
      <c r="M185" s="846"/>
      <c r="N185" s="846"/>
      <c r="O185" s="846"/>
      <c r="P185" s="846"/>
      <c r="Q185" s="846"/>
      <c r="R185" s="846"/>
      <c r="S185" s="846"/>
      <c r="T185" s="846"/>
      <c r="U185" s="846"/>
      <c r="V185" s="846"/>
      <c r="W185" s="846"/>
      <c r="X185" s="846"/>
    </row>
    <row r="186" spans="1:26" x14ac:dyDescent="0.3">
      <c r="A186" s="873" t="s">
        <v>1080</v>
      </c>
      <c r="B186" s="873" t="s">
        <v>1080</v>
      </c>
      <c r="C186" s="874" t="s">
        <v>1081</v>
      </c>
      <c r="D186" s="869">
        <v>0</v>
      </c>
      <c r="E186" s="851">
        <v>0</v>
      </c>
      <c r="F186" s="870">
        <v>0</v>
      </c>
      <c r="G186" s="843">
        <f t="shared" si="24"/>
        <v>0</v>
      </c>
      <c r="H186" s="846">
        <v>0</v>
      </c>
      <c r="I186" s="845">
        <f t="shared" si="25"/>
        <v>0</v>
      </c>
      <c r="J186" s="846">
        <v>0</v>
      </c>
      <c r="K186" s="845">
        <f t="shared" si="26"/>
        <v>0</v>
      </c>
      <c r="L186" s="846">
        <v>0</v>
      </c>
      <c r="M186" s="846"/>
      <c r="N186" s="846"/>
      <c r="O186" s="846"/>
      <c r="P186" s="846"/>
      <c r="Q186" s="846"/>
      <c r="R186" s="846"/>
      <c r="S186" s="846"/>
      <c r="T186" s="846"/>
      <c r="U186" s="846"/>
      <c r="V186" s="846"/>
      <c r="W186" s="846"/>
      <c r="X186" s="846"/>
    </row>
    <row r="187" spans="1:26" x14ac:dyDescent="0.3">
      <c r="A187" s="873" t="s">
        <v>1082</v>
      </c>
      <c r="B187" s="873" t="s">
        <v>1080</v>
      </c>
      <c r="C187" s="874" t="s">
        <v>1083</v>
      </c>
      <c r="D187" s="869">
        <v>0</v>
      </c>
      <c r="E187" s="851">
        <v>0</v>
      </c>
      <c r="F187" s="870">
        <v>0</v>
      </c>
      <c r="G187" s="843">
        <f t="shared" si="24"/>
        <v>0</v>
      </c>
      <c r="H187" s="846">
        <v>0</v>
      </c>
      <c r="I187" s="845">
        <f t="shared" si="25"/>
        <v>0</v>
      </c>
      <c r="J187" s="846">
        <v>0</v>
      </c>
      <c r="K187" s="845">
        <f t="shared" si="26"/>
        <v>0</v>
      </c>
      <c r="L187" s="846">
        <v>0</v>
      </c>
      <c r="M187" s="846"/>
      <c r="N187" s="846"/>
      <c r="O187" s="846"/>
      <c r="P187" s="846"/>
      <c r="Q187" s="846"/>
      <c r="R187" s="846"/>
      <c r="S187" s="846"/>
      <c r="T187" s="846"/>
      <c r="U187" s="846"/>
      <c r="V187" s="846"/>
      <c r="W187" s="846"/>
      <c r="X187" s="846"/>
    </row>
    <row r="188" spans="1:26" x14ac:dyDescent="0.3">
      <c r="A188" s="873" t="s">
        <v>479</v>
      </c>
      <c r="B188" s="873" t="s">
        <v>476</v>
      </c>
      <c r="C188" s="874" t="s">
        <v>1084</v>
      </c>
      <c r="D188" s="869">
        <v>200</v>
      </c>
      <c r="E188" s="851">
        <v>0</v>
      </c>
      <c r="F188" s="870">
        <v>200</v>
      </c>
      <c r="G188" s="843">
        <f t="shared" si="24"/>
        <v>16.666666666666668</v>
      </c>
      <c r="H188" s="846">
        <v>0</v>
      </c>
      <c r="I188" s="845">
        <f t="shared" si="25"/>
        <v>33.333333333333336</v>
      </c>
      <c r="J188" s="846">
        <v>0</v>
      </c>
      <c r="K188" s="845">
        <f t="shared" si="26"/>
        <v>50</v>
      </c>
      <c r="L188" s="846">
        <v>0</v>
      </c>
      <c r="M188" s="846"/>
      <c r="N188" s="846"/>
      <c r="O188" s="846"/>
      <c r="P188" s="846"/>
      <c r="Q188" s="846"/>
      <c r="R188" s="846"/>
      <c r="S188" s="846"/>
      <c r="T188" s="846"/>
      <c r="U188" s="846"/>
      <c r="V188" s="846"/>
      <c r="W188" s="846"/>
      <c r="X188" s="846"/>
    </row>
    <row r="189" spans="1:26" x14ac:dyDescent="0.3">
      <c r="A189" s="873" t="s">
        <v>486</v>
      </c>
      <c r="B189" s="873" t="s">
        <v>1080</v>
      </c>
      <c r="C189" s="874" t="s">
        <v>1085</v>
      </c>
      <c r="D189" s="869">
        <v>3264.02</v>
      </c>
      <c r="E189" s="851">
        <v>3264.02</v>
      </c>
      <c r="F189" s="870">
        <v>3264.02</v>
      </c>
      <c r="G189" s="843">
        <f t="shared" si="24"/>
        <v>272.00166666666667</v>
      </c>
      <c r="H189" s="846">
        <v>0</v>
      </c>
      <c r="I189" s="845">
        <f t="shared" si="25"/>
        <v>544.00333333333333</v>
      </c>
      <c r="J189" s="846">
        <v>0</v>
      </c>
      <c r="K189" s="845">
        <f t="shared" si="26"/>
        <v>816.005</v>
      </c>
      <c r="L189" s="846">
        <v>0</v>
      </c>
      <c r="M189" s="846"/>
      <c r="N189" s="846"/>
      <c r="O189" s="846"/>
      <c r="P189" s="846"/>
      <c r="Q189" s="846"/>
      <c r="R189" s="846"/>
      <c r="S189" s="846"/>
      <c r="T189" s="846"/>
      <c r="U189" s="846"/>
      <c r="V189" s="846"/>
      <c r="W189" s="846"/>
      <c r="X189" s="846"/>
    </row>
    <row r="190" spans="1:26" x14ac:dyDescent="0.3">
      <c r="A190" s="873" t="s">
        <v>488</v>
      </c>
      <c r="B190" s="873" t="s">
        <v>1080</v>
      </c>
      <c r="C190" s="874" t="s">
        <v>1086</v>
      </c>
      <c r="D190" s="869">
        <v>25</v>
      </c>
      <c r="E190" s="851">
        <v>25</v>
      </c>
      <c r="F190" s="870">
        <v>25</v>
      </c>
      <c r="G190" s="843">
        <f t="shared" si="24"/>
        <v>2.0833333333333335</v>
      </c>
      <c r="H190" s="846">
        <v>0</v>
      </c>
      <c r="I190" s="845">
        <f t="shared" si="25"/>
        <v>4.166666666666667</v>
      </c>
      <c r="J190" s="846">
        <v>0</v>
      </c>
      <c r="K190" s="845">
        <f t="shared" si="26"/>
        <v>6.25</v>
      </c>
      <c r="L190" s="846">
        <v>25</v>
      </c>
      <c r="M190" s="846"/>
      <c r="N190" s="846"/>
      <c r="O190" s="846"/>
      <c r="P190" s="846"/>
      <c r="Q190" s="846"/>
      <c r="R190" s="846"/>
      <c r="S190" s="846"/>
      <c r="T190" s="846"/>
      <c r="U190" s="846"/>
      <c r="V190" s="846"/>
      <c r="W190" s="846"/>
      <c r="X190" s="846"/>
    </row>
    <row r="191" spans="1:26" s="420" customFormat="1" x14ac:dyDescent="0.3">
      <c r="A191" s="859" t="s">
        <v>1087</v>
      </c>
      <c r="B191" s="859"/>
      <c r="C191" s="860" t="s">
        <v>1088</v>
      </c>
      <c r="D191" s="861"/>
      <c r="E191" s="879"/>
      <c r="F191" s="863"/>
      <c r="G191" s="863"/>
      <c r="H191" s="864"/>
      <c r="I191" s="864"/>
      <c r="J191" s="864"/>
      <c r="K191" s="864"/>
      <c r="L191" s="864"/>
      <c r="M191" s="864"/>
      <c r="N191" s="864"/>
      <c r="O191" s="864"/>
      <c r="P191" s="864"/>
      <c r="Q191" s="864"/>
      <c r="R191" s="864"/>
      <c r="S191" s="864"/>
      <c r="T191" s="877"/>
      <c r="U191" s="877"/>
      <c r="V191" s="877"/>
      <c r="W191" s="864"/>
      <c r="X191" s="864"/>
      <c r="Y191" s="418"/>
      <c r="Z191" s="419"/>
    </row>
    <row r="192" spans="1:26" x14ac:dyDescent="0.3">
      <c r="A192" s="873" t="s">
        <v>150</v>
      </c>
      <c r="B192" s="873" t="s">
        <v>150</v>
      </c>
      <c r="C192" s="874" t="s">
        <v>1089</v>
      </c>
      <c r="D192" s="869">
        <v>1500</v>
      </c>
      <c r="E192" s="851">
        <v>795</v>
      </c>
      <c r="F192" s="870">
        <v>1500</v>
      </c>
      <c r="G192" s="843">
        <f t="shared" ref="G192:G197" si="27">F192*1/12</f>
        <v>125</v>
      </c>
      <c r="H192" s="875">
        <v>0</v>
      </c>
      <c r="I192" s="845">
        <f>F192*2/12</f>
        <v>250</v>
      </c>
      <c r="J192" s="875">
        <v>270</v>
      </c>
      <c r="K192" s="845">
        <f>F192*3/12</f>
        <v>375</v>
      </c>
      <c r="L192" s="875">
        <v>270</v>
      </c>
      <c r="M192" s="875"/>
      <c r="N192" s="875"/>
      <c r="O192" s="875"/>
      <c r="P192" s="875"/>
      <c r="Q192" s="875"/>
      <c r="R192" s="846"/>
      <c r="S192" s="846"/>
      <c r="T192" s="846"/>
      <c r="U192" s="846"/>
      <c r="V192" s="846"/>
      <c r="W192" s="846"/>
      <c r="X192" s="846"/>
    </row>
    <row r="193" spans="1:26" x14ac:dyDescent="0.3">
      <c r="A193" s="873" t="s">
        <v>253</v>
      </c>
      <c r="B193" s="873" t="s">
        <v>253</v>
      </c>
      <c r="C193" s="874" t="s">
        <v>1090</v>
      </c>
      <c r="D193" s="869">
        <v>2500</v>
      </c>
      <c r="E193" s="851">
        <v>1611.86</v>
      </c>
      <c r="F193" s="870">
        <v>2500</v>
      </c>
      <c r="G193" s="843">
        <f t="shared" si="27"/>
        <v>208.33333333333334</v>
      </c>
      <c r="H193" s="875">
        <v>0</v>
      </c>
      <c r="I193" s="845">
        <f t="shared" ref="I193:I253" si="28">F193*2/12</f>
        <v>416.66666666666669</v>
      </c>
      <c r="J193" s="846">
        <v>512.35</v>
      </c>
      <c r="K193" s="845">
        <f t="shared" ref="K193:K252" si="29">F193*3/12</f>
        <v>625</v>
      </c>
      <c r="L193" s="846">
        <v>512.35</v>
      </c>
      <c r="M193" s="846"/>
      <c r="N193" s="846"/>
      <c r="O193" s="846"/>
      <c r="P193" s="846"/>
      <c r="Q193" s="846"/>
      <c r="R193" s="846"/>
      <c r="S193" s="846"/>
      <c r="T193" s="846"/>
      <c r="U193" s="846"/>
      <c r="V193" s="846"/>
      <c r="W193" s="846"/>
      <c r="X193" s="846"/>
    </row>
    <row r="194" spans="1:26" x14ac:dyDescent="0.3">
      <c r="A194" s="873" t="s">
        <v>1091</v>
      </c>
      <c r="B194" s="873" t="s">
        <v>1091</v>
      </c>
      <c r="C194" s="874" t="s">
        <v>1092</v>
      </c>
      <c r="D194" s="869">
        <v>300</v>
      </c>
      <c r="E194" s="851">
        <v>0</v>
      </c>
      <c r="F194" s="870">
        <v>300</v>
      </c>
      <c r="G194" s="843">
        <f t="shared" si="27"/>
        <v>25</v>
      </c>
      <c r="H194" s="875">
        <f>+H197+H252</f>
        <v>0</v>
      </c>
      <c r="I194" s="845">
        <f t="shared" si="28"/>
        <v>50</v>
      </c>
      <c r="J194" s="846">
        <v>0</v>
      </c>
      <c r="K194" s="845">
        <f t="shared" si="29"/>
        <v>75</v>
      </c>
      <c r="L194" s="846">
        <v>0</v>
      </c>
      <c r="M194" s="846"/>
      <c r="N194" s="846"/>
      <c r="O194" s="846"/>
      <c r="P194" s="846"/>
      <c r="Q194" s="846"/>
      <c r="R194" s="846"/>
      <c r="S194" s="846"/>
      <c r="T194" s="846"/>
      <c r="U194" s="846"/>
      <c r="V194" s="846"/>
      <c r="W194" s="846"/>
      <c r="X194" s="846"/>
    </row>
    <row r="195" spans="1:26" x14ac:dyDescent="0.3">
      <c r="A195" s="873" t="s">
        <v>282</v>
      </c>
      <c r="B195" s="873" t="s">
        <v>282</v>
      </c>
      <c r="C195" s="874" t="s">
        <v>1093</v>
      </c>
      <c r="D195" s="869">
        <v>1500</v>
      </c>
      <c r="E195" s="851">
        <v>643</v>
      </c>
      <c r="F195" s="870">
        <v>1500</v>
      </c>
      <c r="G195" s="843">
        <f t="shared" si="27"/>
        <v>125</v>
      </c>
      <c r="H195" s="875">
        <v>0</v>
      </c>
      <c r="I195" s="845">
        <f t="shared" si="28"/>
        <v>250</v>
      </c>
      <c r="J195" s="846">
        <v>320</v>
      </c>
      <c r="K195" s="845">
        <f t="shared" si="29"/>
        <v>375</v>
      </c>
      <c r="L195" s="846">
        <v>320</v>
      </c>
      <c r="M195" s="846"/>
      <c r="N195" s="846"/>
      <c r="O195" s="846"/>
      <c r="P195" s="846"/>
      <c r="Q195" s="846"/>
      <c r="R195" s="846"/>
      <c r="S195" s="846"/>
      <c r="T195" s="846"/>
      <c r="U195" s="846"/>
      <c r="V195" s="846"/>
      <c r="W195" s="846"/>
      <c r="X195" s="846"/>
    </row>
    <row r="196" spans="1:26" x14ac:dyDescent="0.3">
      <c r="A196" s="873" t="s">
        <v>303</v>
      </c>
      <c r="B196" s="873" t="s">
        <v>282</v>
      </c>
      <c r="C196" s="874" t="s">
        <v>1094</v>
      </c>
      <c r="D196" s="869">
        <v>200</v>
      </c>
      <c r="E196" s="851">
        <v>8.98</v>
      </c>
      <c r="F196" s="870">
        <v>200</v>
      </c>
      <c r="G196" s="843">
        <f t="shared" si="27"/>
        <v>16.666666666666668</v>
      </c>
      <c r="H196" s="875">
        <v>0</v>
      </c>
      <c r="I196" s="845">
        <f t="shared" si="28"/>
        <v>33.333333333333336</v>
      </c>
      <c r="J196" s="846">
        <v>0</v>
      </c>
      <c r="K196" s="845">
        <f t="shared" si="29"/>
        <v>50</v>
      </c>
      <c r="L196" s="846">
        <v>0</v>
      </c>
      <c r="M196" s="846"/>
      <c r="N196" s="846"/>
      <c r="O196" s="846"/>
      <c r="P196" s="846"/>
      <c r="Q196" s="846"/>
      <c r="R196" s="846"/>
      <c r="S196" s="846"/>
      <c r="T196" s="846"/>
      <c r="U196" s="846"/>
      <c r="V196" s="846"/>
      <c r="W196" s="846"/>
      <c r="X196" s="846"/>
    </row>
    <row r="197" spans="1:26" x14ac:dyDescent="0.3">
      <c r="A197" s="873" t="s">
        <v>1095</v>
      </c>
      <c r="B197" s="873" t="s">
        <v>282</v>
      </c>
      <c r="C197" s="874" t="s">
        <v>1096</v>
      </c>
      <c r="D197" s="869">
        <v>100</v>
      </c>
      <c r="E197" s="851">
        <v>0</v>
      </c>
      <c r="F197" s="870">
        <v>100</v>
      </c>
      <c r="G197" s="843">
        <f t="shared" si="27"/>
        <v>8.3333333333333339</v>
      </c>
      <c r="H197" s="875">
        <v>0</v>
      </c>
      <c r="I197" s="845">
        <f t="shared" si="28"/>
        <v>16.666666666666668</v>
      </c>
      <c r="J197" s="846">
        <v>0</v>
      </c>
      <c r="K197" s="845">
        <f t="shared" si="29"/>
        <v>25</v>
      </c>
      <c r="L197" s="846">
        <v>0</v>
      </c>
      <c r="M197" s="846"/>
      <c r="N197" s="846"/>
      <c r="O197" s="846"/>
      <c r="P197" s="846"/>
      <c r="Q197" s="846"/>
      <c r="R197" s="846"/>
      <c r="S197" s="846"/>
      <c r="T197" s="846"/>
      <c r="U197" s="846"/>
      <c r="V197" s="846"/>
      <c r="W197" s="846"/>
      <c r="X197" s="846"/>
    </row>
    <row r="198" spans="1:26" s="420" customFormat="1" x14ac:dyDescent="0.3">
      <c r="A198" s="859" t="s">
        <v>1097</v>
      </c>
      <c r="B198" s="859"/>
      <c r="C198" s="860" t="s">
        <v>1098</v>
      </c>
      <c r="D198" s="861"/>
      <c r="E198" s="879"/>
      <c r="F198" s="863"/>
      <c r="G198" s="863"/>
      <c r="H198" s="864"/>
      <c r="I198" s="864"/>
      <c r="J198" s="864"/>
      <c r="K198" s="865"/>
      <c r="L198" s="864"/>
      <c r="M198" s="864"/>
      <c r="N198" s="864"/>
      <c r="O198" s="864"/>
      <c r="P198" s="864"/>
      <c r="Q198" s="864"/>
      <c r="R198" s="864"/>
      <c r="S198" s="864"/>
      <c r="T198" s="877"/>
      <c r="U198" s="877"/>
      <c r="V198" s="864"/>
      <c r="W198" s="864"/>
      <c r="X198" s="864"/>
      <c r="Y198" s="418"/>
      <c r="Z198" s="419"/>
    </row>
    <row r="199" spans="1:26" x14ac:dyDescent="0.3">
      <c r="A199" s="848" t="s">
        <v>1099</v>
      </c>
      <c r="B199" s="848" t="s">
        <v>1099</v>
      </c>
      <c r="C199" s="849" t="s">
        <v>1100</v>
      </c>
      <c r="D199" s="869">
        <v>20000</v>
      </c>
      <c r="E199" s="851">
        <v>15283.33</v>
      </c>
      <c r="F199" s="870">
        <v>20000</v>
      </c>
      <c r="G199" s="843">
        <f t="shared" ref="G199:G207" si="30">F199*1/12</f>
        <v>1666.6666666666667</v>
      </c>
      <c r="H199" s="846">
        <v>800</v>
      </c>
      <c r="I199" s="845">
        <f t="shared" si="28"/>
        <v>3333.3333333333335</v>
      </c>
      <c r="J199" s="846">
        <v>1810</v>
      </c>
      <c r="K199" s="845">
        <f t="shared" si="29"/>
        <v>5000</v>
      </c>
      <c r="L199" s="846">
        <v>2975</v>
      </c>
      <c r="M199" s="846"/>
      <c r="N199" s="846"/>
      <c r="O199" s="846"/>
      <c r="P199" s="846"/>
      <c r="Q199" s="846"/>
      <c r="R199" s="846"/>
      <c r="S199" s="846"/>
      <c r="T199" s="846"/>
      <c r="U199" s="846"/>
      <c r="V199" s="846"/>
      <c r="W199" s="846"/>
      <c r="X199" s="847"/>
    </row>
    <row r="200" spans="1:26" x14ac:dyDescent="0.3">
      <c r="A200" s="848" t="s">
        <v>243</v>
      </c>
      <c r="B200" s="848" t="s">
        <v>243</v>
      </c>
      <c r="C200" s="849" t="s">
        <v>1101</v>
      </c>
      <c r="D200" s="869">
        <v>14000</v>
      </c>
      <c r="E200" s="851">
        <v>8591.16</v>
      </c>
      <c r="F200" s="870">
        <v>14000</v>
      </c>
      <c r="G200" s="843">
        <f t="shared" si="30"/>
        <v>1166.6666666666667</v>
      </c>
      <c r="H200" s="846">
        <v>0</v>
      </c>
      <c r="I200" s="845">
        <f t="shared" si="28"/>
        <v>2333.3333333333335</v>
      </c>
      <c r="J200" s="846">
        <v>294.89999999999998</v>
      </c>
      <c r="K200" s="845">
        <f t="shared" si="29"/>
        <v>3500</v>
      </c>
      <c r="L200" s="846">
        <v>1022.85</v>
      </c>
      <c r="M200" s="846"/>
      <c r="N200" s="846"/>
      <c r="O200" s="846"/>
      <c r="P200" s="846"/>
      <c r="Q200" s="846"/>
      <c r="R200" s="846"/>
      <c r="S200" s="846"/>
      <c r="T200" s="846"/>
      <c r="U200" s="846"/>
      <c r="V200" s="846"/>
      <c r="W200" s="846"/>
      <c r="X200" s="846"/>
    </row>
    <row r="201" spans="1:26" x14ac:dyDescent="0.3">
      <c r="A201" s="848" t="s">
        <v>1102</v>
      </c>
      <c r="B201" s="848" t="s">
        <v>1102</v>
      </c>
      <c r="C201" s="904" t="s">
        <v>1103</v>
      </c>
      <c r="D201" s="869">
        <v>45000</v>
      </c>
      <c r="E201" s="851">
        <v>41821.25</v>
      </c>
      <c r="F201" s="870">
        <v>45000</v>
      </c>
      <c r="G201" s="843">
        <f t="shared" si="30"/>
        <v>3750</v>
      </c>
      <c r="H201" s="846">
        <v>797.5</v>
      </c>
      <c r="I201" s="845">
        <f t="shared" si="28"/>
        <v>7500</v>
      </c>
      <c r="J201" s="846">
        <v>797.5</v>
      </c>
      <c r="K201" s="845">
        <f t="shared" si="29"/>
        <v>11250</v>
      </c>
      <c r="L201" s="846">
        <v>797.5</v>
      </c>
      <c r="M201" s="846"/>
      <c r="N201" s="846"/>
      <c r="O201" s="846"/>
      <c r="P201" s="846"/>
      <c r="Q201" s="846"/>
      <c r="R201" s="846"/>
      <c r="S201" s="846"/>
      <c r="T201" s="846"/>
      <c r="U201" s="846"/>
      <c r="V201" s="846"/>
      <c r="W201" s="846"/>
      <c r="X201" s="846"/>
    </row>
    <row r="202" spans="1:26" x14ac:dyDescent="0.3">
      <c r="A202" s="848" t="s">
        <v>267</v>
      </c>
      <c r="B202" s="848" t="s">
        <v>267</v>
      </c>
      <c r="C202" s="849" t="s">
        <v>1104</v>
      </c>
      <c r="D202" s="869">
        <v>3000</v>
      </c>
      <c r="E202" s="851">
        <v>1120</v>
      </c>
      <c r="F202" s="870">
        <v>3000</v>
      </c>
      <c r="G202" s="843">
        <f t="shared" si="30"/>
        <v>250</v>
      </c>
      <c r="H202" s="846">
        <v>0</v>
      </c>
      <c r="I202" s="845">
        <f t="shared" si="28"/>
        <v>500</v>
      </c>
      <c r="J202" s="846">
        <v>0</v>
      </c>
      <c r="K202" s="845">
        <f t="shared" si="29"/>
        <v>750</v>
      </c>
      <c r="L202" s="846">
        <v>130</v>
      </c>
      <c r="M202" s="846"/>
      <c r="N202" s="846"/>
      <c r="O202" s="846"/>
      <c r="P202" s="846"/>
      <c r="Q202" s="846"/>
      <c r="R202" s="846"/>
      <c r="S202" s="846"/>
      <c r="T202" s="846"/>
      <c r="U202" s="846"/>
      <c r="V202" s="846"/>
      <c r="W202" s="846"/>
      <c r="X202" s="846"/>
    </row>
    <row r="203" spans="1:26" x14ac:dyDescent="0.3">
      <c r="A203" s="848" t="s">
        <v>293</v>
      </c>
      <c r="B203" s="848" t="s">
        <v>243</v>
      </c>
      <c r="C203" s="905" t="s">
        <v>1105</v>
      </c>
      <c r="D203" s="869">
        <v>2000</v>
      </c>
      <c r="E203" s="851">
        <v>118.19</v>
      </c>
      <c r="F203" s="870">
        <v>2000</v>
      </c>
      <c r="G203" s="843">
        <f t="shared" si="30"/>
        <v>166.66666666666666</v>
      </c>
      <c r="H203" s="846">
        <v>0</v>
      </c>
      <c r="I203" s="845">
        <f t="shared" si="28"/>
        <v>333.33333333333331</v>
      </c>
      <c r="J203" s="846">
        <v>0</v>
      </c>
      <c r="K203" s="845">
        <f t="shared" si="29"/>
        <v>500</v>
      </c>
      <c r="L203" s="846">
        <v>6.74</v>
      </c>
      <c r="M203" s="846"/>
      <c r="N203" s="846"/>
      <c r="O203" s="846"/>
      <c r="P203" s="846"/>
      <c r="Q203" s="846"/>
      <c r="R203" s="846"/>
      <c r="S203" s="846"/>
      <c r="T203" s="846"/>
      <c r="U203" s="846"/>
      <c r="V203" s="846"/>
      <c r="W203" s="846"/>
      <c r="X203" s="846"/>
    </row>
    <row r="204" spans="1:26" x14ac:dyDescent="0.3">
      <c r="A204" s="848" t="s">
        <v>377</v>
      </c>
      <c r="B204" s="848" t="s">
        <v>267</v>
      </c>
      <c r="C204" s="906" t="s">
        <v>1106</v>
      </c>
      <c r="D204" s="869">
        <v>4000</v>
      </c>
      <c r="E204" s="851">
        <v>0</v>
      </c>
      <c r="F204" s="870">
        <v>4000</v>
      </c>
      <c r="G204" s="843">
        <f t="shared" si="30"/>
        <v>333.33333333333331</v>
      </c>
      <c r="H204" s="846">
        <v>0</v>
      </c>
      <c r="I204" s="845">
        <f t="shared" si="28"/>
        <v>666.66666666666663</v>
      </c>
      <c r="J204" s="846">
        <v>0</v>
      </c>
      <c r="K204" s="845">
        <f t="shared" si="29"/>
        <v>1000</v>
      </c>
      <c r="L204" s="846">
        <v>0</v>
      </c>
      <c r="M204" s="846"/>
      <c r="N204" s="846"/>
      <c r="O204" s="846"/>
      <c r="P204" s="846"/>
      <c r="Q204" s="846"/>
      <c r="R204" s="846"/>
      <c r="S204" s="846"/>
      <c r="T204" s="846"/>
      <c r="U204" s="846"/>
      <c r="V204" s="846"/>
      <c r="W204" s="846"/>
      <c r="X204" s="847"/>
    </row>
    <row r="205" spans="1:26" x14ac:dyDescent="0.3">
      <c r="A205" s="848" t="s">
        <v>365</v>
      </c>
      <c r="B205" s="848" t="s">
        <v>267</v>
      </c>
      <c r="C205" s="849" t="s">
        <v>1107</v>
      </c>
      <c r="D205" s="869">
        <v>300</v>
      </c>
      <c r="E205" s="851">
        <v>0</v>
      </c>
      <c r="F205" s="870">
        <v>300</v>
      </c>
      <c r="G205" s="843">
        <f t="shared" si="30"/>
        <v>25</v>
      </c>
      <c r="H205" s="846">
        <v>0</v>
      </c>
      <c r="I205" s="845">
        <f t="shared" si="28"/>
        <v>50</v>
      </c>
      <c r="J205" s="846">
        <v>0</v>
      </c>
      <c r="K205" s="845">
        <f t="shared" si="29"/>
        <v>75</v>
      </c>
      <c r="L205" s="846">
        <v>0</v>
      </c>
      <c r="M205" s="846"/>
      <c r="N205" s="846"/>
      <c r="O205" s="846"/>
      <c r="P205" s="846"/>
      <c r="Q205" s="846"/>
      <c r="R205" s="846"/>
      <c r="S205" s="846"/>
      <c r="T205" s="846"/>
      <c r="U205" s="846"/>
      <c r="V205" s="846"/>
      <c r="W205" s="846"/>
      <c r="X205" s="846"/>
    </row>
    <row r="206" spans="1:26" x14ac:dyDescent="0.3">
      <c r="A206" s="848" t="s">
        <v>1108</v>
      </c>
      <c r="B206" s="848" t="s">
        <v>267</v>
      </c>
      <c r="C206" s="849" t="s">
        <v>1109</v>
      </c>
      <c r="D206" s="869">
        <v>4000</v>
      </c>
      <c r="E206" s="851">
        <v>2507.77</v>
      </c>
      <c r="F206" s="870">
        <v>4000</v>
      </c>
      <c r="G206" s="843">
        <f t="shared" si="30"/>
        <v>333.33333333333331</v>
      </c>
      <c r="H206" s="846">
        <v>269</v>
      </c>
      <c r="I206" s="845">
        <f t="shared" si="28"/>
        <v>666.66666666666663</v>
      </c>
      <c r="J206" s="846">
        <v>680.97</v>
      </c>
      <c r="K206" s="845">
        <f t="shared" si="29"/>
        <v>1000</v>
      </c>
      <c r="L206" s="846">
        <v>680.97</v>
      </c>
      <c r="M206" s="846"/>
      <c r="N206" s="846"/>
      <c r="O206" s="846"/>
      <c r="P206" s="846"/>
      <c r="Q206" s="846"/>
      <c r="R206" s="846"/>
      <c r="S206" s="846"/>
      <c r="T206" s="846"/>
      <c r="U206" s="846"/>
      <c r="V206" s="846"/>
      <c r="W206" s="846"/>
      <c r="X206" s="846"/>
    </row>
    <row r="207" spans="1:26" x14ac:dyDescent="0.3">
      <c r="A207" s="848" t="s">
        <v>1110</v>
      </c>
      <c r="B207" s="848" t="s">
        <v>267</v>
      </c>
      <c r="C207" s="849" t="s">
        <v>1111</v>
      </c>
      <c r="D207" s="869">
        <v>700</v>
      </c>
      <c r="E207" s="851">
        <v>0</v>
      </c>
      <c r="F207" s="870">
        <v>700</v>
      </c>
      <c r="G207" s="843">
        <f t="shared" si="30"/>
        <v>58.333333333333336</v>
      </c>
      <c r="H207" s="846">
        <v>0</v>
      </c>
      <c r="I207" s="845">
        <f t="shared" si="28"/>
        <v>116.66666666666667</v>
      </c>
      <c r="J207" s="846">
        <v>0</v>
      </c>
      <c r="K207" s="845">
        <f t="shared" si="29"/>
        <v>175</v>
      </c>
      <c r="L207" s="846">
        <v>0</v>
      </c>
      <c r="M207" s="846"/>
      <c r="N207" s="846"/>
      <c r="O207" s="846"/>
      <c r="P207" s="846"/>
      <c r="Q207" s="846"/>
      <c r="R207" s="846"/>
      <c r="S207" s="846"/>
      <c r="T207" s="846"/>
      <c r="U207" s="846"/>
      <c r="V207" s="846"/>
      <c r="W207" s="846"/>
      <c r="X207" s="846"/>
    </row>
    <row r="208" spans="1:26" s="420" customFormat="1" x14ac:dyDescent="0.3">
      <c r="A208" s="859" t="s">
        <v>1112</v>
      </c>
      <c r="B208" s="859"/>
      <c r="C208" s="860" t="s">
        <v>1113</v>
      </c>
      <c r="D208" s="861"/>
      <c r="E208" s="879"/>
      <c r="F208" s="863"/>
      <c r="G208" s="863"/>
      <c r="H208" s="864"/>
      <c r="I208" s="864"/>
      <c r="J208" s="864"/>
      <c r="K208" s="865"/>
      <c r="L208" s="864"/>
      <c r="M208" s="864"/>
      <c r="N208" s="864"/>
      <c r="O208" s="864"/>
      <c r="P208" s="864"/>
      <c r="Q208" s="864"/>
      <c r="R208" s="864"/>
      <c r="S208" s="864"/>
      <c r="T208" s="877"/>
      <c r="U208" s="877"/>
      <c r="V208" s="864"/>
      <c r="W208" s="864"/>
      <c r="X208" s="864"/>
      <c r="Y208" s="418"/>
      <c r="Z208" s="419"/>
    </row>
    <row r="209" spans="1:26" x14ac:dyDescent="0.3">
      <c r="A209" s="873" t="s">
        <v>1114</v>
      </c>
      <c r="B209" s="874" t="s">
        <v>1114</v>
      </c>
      <c r="C209" s="849" t="s">
        <v>1115</v>
      </c>
      <c r="D209" s="869">
        <v>11000</v>
      </c>
      <c r="E209" s="851">
        <v>7280</v>
      </c>
      <c r="F209" s="870">
        <v>11000</v>
      </c>
      <c r="G209" s="843">
        <f>F209*1/12</f>
        <v>916.66666666666663</v>
      </c>
      <c r="H209" s="846">
        <v>795</v>
      </c>
      <c r="I209" s="845">
        <f t="shared" si="28"/>
        <v>1833.3333333333333</v>
      </c>
      <c r="J209" s="846">
        <v>1865</v>
      </c>
      <c r="K209" s="845">
        <f t="shared" si="29"/>
        <v>2750</v>
      </c>
      <c r="L209" s="846">
        <v>2540</v>
      </c>
      <c r="M209" s="846"/>
      <c r="N209" s="846"/>
      <c r="O209" s="846"/>
      <c r="P209" s="846"/>
      <c r="Q209" s="846"/>
      <c r="R209" s="846"/>
      <c r="S209" s="846"/>
      <c r="T209" s="846"/>
      <c r="U209" s="846"/>
      <c r="V209" s="846"/>
      <c r="W209" s="846"/>
      <c r="X209" s="847"/>
    </row>
    <row r="210" spans="1:26" x14ac:dyDescent="0.3">
      <c r="A210" s="873" t="s">
        <v>245</v>
      </c>
      <c r="B210" s="874" t="s">
        <v>245</v>
      </c>
      <c r="C210" s="849" t="s">
        <v>1116</v>
      </c>
      <c r="D210" s="869">
        <v>1000</v>
      </c>
      <c r="E210" s="851">
        <v>501.44</v>
      </c>
      <c r="F210" s="870">
        <v>1000</v>
      </c>
      <c r="G210" s="843">
        <f t="shared" ref="G210:G217" si="31">F210*1/12</f>
        <v>83.333333333333329</v>
      </c>
      <c r="H210" s="846">
        <v>69</v>
      </c>
      <c r="I210" s="845">
        <f t="shared" si="28"/>
        <v>166.66666666666666</v>
      </c>
      <c r="J210" s="846">
        <v>146</v>
      </c>
      <c r="K210" s="845">
        <f t="shared" si="29"/>
        <v>250</v>
      </c>
      <c r="L210" s="846">
        <v>146</v>
      </c>
      <c r="M210" s="846"/>
      <c r="N210" s="846"/>
      <c r="O210" s="846"/>
      <c r="P210" s="846"/>
      <c r="Q210" s="846"/>
      <c r="R210" s="846"/>
      <c r="S210" s="846"/>
      <c r="T210" s="846"/>
      <c r="U210" s="846"/>
      <c r="V210" s="846"/>
      <c r="W210" s="846"/>
      <c r="X210" s="846"/>
    </row>
    <row r="211" spans="1:26" x14ac:dyDescent="0.3">
      <c r="A211" s="873" t="s">
        <v>1117</v>
      </c>
      <c r="B211" s="874" t="s">
        <v>1117</v>
      </c>
      <c r="C211" s="904" t="s">
        <v>1118</v>
      </c>
      <c r="D211" s="869">
        <v>3000</v>
      </c>
      <c r="E211" s="880">
        <v>4544.7</v>
      </c>
      <c r="F211" s="870">
        <v>3000</v>
      </c>
      <c r="G211" s="843">
        <f t="shared" si="31"/>
        <v>250</v>
      </c>
      <c r="H211" s="846">
        <v>600</v>
      </c>
      <c r="I211" s="845">
        <f t="shared" si="28"/>
        <v>500</v>
      </c>
      <c r="J211" s="846">
        <v>600</v>
      </c>
      <c r="K211" s="845">
        <f t="shared" si="29"/>
        <v>750</v>
      </c>
      <c r="L211" s="846">
        <v>600</v>
      </c>
      <c r="M211" s="846"/>
      <c r="N211" s="846"/>
      <c r="O211" s="846"/>
      <c r="P211" s="846"/>
      <c r="Q211" s="846"/>
      <c r="R211" s="846"/>
      <c r="S211" s="846"/>
      <c r="T211" s="846"/>
      <c r="U211" s="846"/>
      <c r="V211" s="881"/>
      <c r="W211" s="881"/>
      <c r="X211" s="846"/>
    </row>
    <row r="212" spans="1:26" x14ac:dyDescent="0.3">
      <c r="A212" s="873" t="s">
        <v>270</v>
      </c>
      <c r="B212" s="874" t="s">
        <v>270</v>
      </c>
      <c r="C212" s="849" t="s">
        <v>1119</v>
      </c>
      <c r="D212" s="869">
        <v>500</v>
      </c>
      <c r="E212" s="851">
        <v>302.39999999999998</v>
      </c>
      <c r="F212" s="870">
        <v>500</v>
      </c>
      <c r="G212" s="843">
        <f t="shared" si="31"/>
        <v>41.666666666666664</v>
      </c>
      <c r="H212" s="846">
        <v>0</v>
      </c>
      <c r="I212" s="845">
        <f t="shared" si="28"/>
        <v>83.333333333333329</v>
      </c>
      <c r="J212" s="846">
        <v>0</v>
      </c>
      <c r="K212" s="845">
        <f t="shared" si="29"/>
        <v>125</v>
      </c>
      <c r="L212" s="846">
        <v>0</v>
      </c>
      <c r="M212" s="846"/>
      <c r="N212" s="846"/>
      <c r="O212" s="846"/>
      <c r="P212" s="846"/>
      <c r="Q212" s="846"/>
      <c r="R212" s="846"/>
      <c r="S212" s="846"/>
      <c r="T212" s="846"/>
      <c r="U212" s="846"/>
      <c r="V212" s="846"/>
      <c r="W212" s="846"/>
      <c r="X212" s="847"/>
    </row>
    <row r="213" spans="1:26" x14ac:dyDescent="0.3">
      <c r="A213" s="873" t="s">
        <v>295</v>
      </c>
      <c r="B213" s="873" t="s">
        <v>245</v>
      </c>
      <c r="C213" s="905" t="s">
        <v>1120</v>
      </c>
      <c r="D213" s="869">
        <v>100</v>
      </c>
      <c r="E213" s="851">
        <v>0</v>
      </c>
      <c r="F213" s="870">
        <v>100</v>
      </c>
      <c r="G213" s="843">
        <f t="shared" si="31"/>
        <v>8.3333333333333339</v>
      </c>
      <c r="H213" s="846">
        <v>0</v>
      </c>
      <c r="I213" s="845">
        <f t="shared" si="28"/>
        <v>16.666666666666668</v>
      </c>
      <c r="J213" s="846">
        <v>0</v>
      </c>
      <c r="K213" s="845">
        <f t="shared" si="29"/>
        <v>25</v>
      </c>
      <c r="L213" s="846">
        <v>0</v>
      </c>
      <c r="M213" s="846"/>
      <c r="N213" s="846"/>
      <c r="O213" s="846"/>
      <c r="P213" s="846"/>
      <c r="Q213" s="846"/>
      <c r="R213" s="846"/>
      <c r="S213" s="846"/>
      <c r="T213" s="846"/>
      <c r="U213" s="846"/>
      <c r="V213" s="846"/>
      <c r="W213" s="846"/>
      <c r="X213" s="846"/>
    </row>
    <row r="214" spans="1:26" x14ac:dyDescent="0.3">
      <c r="A214" s="873" t="s">
        <v>379</v>
      </c>
      <c r="B214" s="873" t="s">
        <v>270</v>
      </c>
      <c r="C214" s="906" t="s">
        <v>1121</v>
      </c>
      <c r="D214" s="869">
        <v>500</v>
      </c>
      <c r="E214" s="851">
        <v>0</v>
      </c>
      <c r="F214" s="870">
        <v>500</v>
      </c>
      <c r="G214" s="843">
        <f t="shared" si="31"/>
        <v>41.666666666666664</v>
      </c>
      <c r="H214" s="846">
        <v>0</v>
      </c>
      <c r="I214" s="845">
        <f t="shared" si="28"/>
        <v>83.333333333333329</v>
      </c>
      <c r="J214" s="846">
        <v>0</v>
      </c>
      <c r="K214" s="845">
        <f t="shared" si="29"/>
        <v>125</v>
      </c>
      <c r="L214" s="846">
        <v>0</v>
      </c>
      <c r="M214" s="846"/>
      <c r="N214" s="846"/>
      <c r="O214" s="846"/>
      <c r="P214" s="846"/>
      <c r="Q214" s="846"/>
      <c r="R214" s="846"/>
      <c r="S214" s="846"/>
      <c r="T214" s="846"/>
      <c r="U214" s="846"/>
      <c r="V214" s="846"/>
      <c r="W214" s="846"/>
      <c r="X214" s="846"/>
    </row>
    <row r="215" spans="1:26" x14ac:dyDescent="0.3">
      <c r="A215" s="873" t="s">
        <v>367</v>
      </c>
      <c r="B215" s="874" t="s">
        <v>270</v>
      </c>
      <c r="C215" s="849" t="s">
        <v>1122</v>
      </c>
      <c r="D215" s="869">
        <v>100</v>
      </c>
      <c r="E215" s="851">
        <v>0</v>
      </c>
      <c r="F215" s="870">
        <v>100</v>
      </c>
      <c r="G215" s="843">
        <f t="shared" si="31"/>
        <v>8.3333333333333339</v>
      </c>
      <c r="H215" s="846">
        <v>0</v>
      </c>
      <c r="I215" s="845">
        <f t="shared" si="28"/>
        <v>16.666666666666668</v>
      </c>
      <c r="J215" s="846">
        <v>0</v>
      </c>
      <c r="K215" s="845">
        <f t="shared" si="29"/>
        <v>25</v>
      </c>
      <c r="L215" s="846">
        <v>0</v>
      </c>
      <c r="M215" s="846"/>
      <c r="N215" s="846"/>
      <c r="O215" s="846"/>
      <c r="P215" s="846"/>
      <c r="Q215" s="846"/>
      <c r="R215" s="846"/>
      <c r="S215" s="846"/>
      <c r="T215" s="846"/>
      <c r="U215" s="846"/>
      <c r="V215" s="846"/>
      <c r="W215" s="846"/>
      <c r="X215" s="846"/>
    </row>
    <row r="216" spans="1:26" x14ac:dyDescent="0.3">
      <c r="A216" s="873" t="s">
        <v>1123</v>
      </c>
      <c r="B216" s="874" t="s">
        <v>270</v>
      </c>
      <c r="C216" s="849" t="s">
        <v>1124</v>
      </c>
      <c r="D216" s="869">
        <v>500</v>
      </c>
      <c r="E216" s="851">
        <v>30</v>
      </c>
      <c r="F216" s="870">
        <v>500</v>
      </c>
      <c r="G216" s="843">
        <f t="shared" si="31"/>
        <v>41.666666666666664</v>
      </c>
      <c r="H216" s="846">
        <v>0</v>
      </c>
      <c r="I216" s="845">
        <f t="shared" si="28"/>
        <v>83.333333333333329</v>
      </c>
      <c r="J216" s="846">
        <v>240</v>
      </c>
      <c r="K216" s="845">
        <f t="shared" si="29"/>
        <v>125</v>
      </c>
      <c r="L216" s="846">
        <v>240</v>
      </c>
      <c r="M216" s="846"/>
      <c r="N216" s="846"/>
      <c r="O216" s="846"/>
      <c r="P216" s="846"/>
      <c r="Q216" s="846"/>
      <c r="R216" s="846"/>
      <c r="S216" s="846"/>
      <c r="T216" s="846"/>
      <c r="U216" s="846"/>
      <c r="V216" s="846"/>
      <c r="W216" s="846"/>
      <c r="X216" s="846"/>
    </row>
    <row r="217" spans="1:26" x14ac:dyDescent="0.3">
      <c r="A217" s="873" t="s">
        <v>1125</v>
      </c>
      <c r="B217" s="874" t="s">
        <v>270</v>
      </c>
      <c r="C217" s="849" t="s">
        <v>1126</v>
      </c>
      <c r="D217" s="869">
        <v>200</v>
      </c>
      <c r="E217" s="851">
        <v>0</v>
      </c>
      <c r="F217" s="870">
        <v>200</v>
      </c>
      <c r="G217" s="843">
        <f t="shared" si="31"/>
        <v>16.666666666666668</v>
      </c>
      <c r="H217" s="846">
        <v>0</v>
      </c>
      <c r="I217" s="845">
        <f t="shared" si="28"/>
        <v>33.333333333333336</v>
      </c>
      <c r="J217" s="846">
        <v>0</v>
      </c>
      <c r="K217" s="845">
        <f t="shared" si="29"/>
        <v>50</v>
      </c>
      <c r="L217" s="846">
        <v>0</v>
      </c>
      <c r="M217" s="846"/>
      <c r="N217" s="846"/>
      <c r="O217" s="846"/>
      <c r="P217" s="846"/>
      <c r="Q217" s="846"/>
      <c r="R217" s="846"/>
      <c r="S217" s="846"/>
      <c r="T217" s="846"/>
      <c r="U217" s="846"/>
      <c r="V217" s="846"/>
      <c r="W217" s="846"/>
      <c r="X217" s="846"/>
    </row>
    <row r="218" spans="1:26" s="420" customFormat="1" x14ac:dyDescent="0.3">
      <c r="A218" s="859" t="s">
        <v>1127</v>
      </c>
      <c r="B218" s="859"/>
      <c r="C218" s="860" t="s">
        <v>1128</v>
      </c>
      <c r="D218" s="861"/>
      <c r="E218" s="879"/>
      <c r="F218" s="863"/>
      <c r="G218" s="863"/>
      <c r="H218" s="864"/>
      <c r="I218" s="864"/>
      <c r="J218" s="864"/>
      <c r="K218" s="865"/>
      <c r="L218" s="864"/>
      <c r="M218" s="864"/>
      <c r="N218" s="864"/>
      <c r="O218" s="864"/>
      <c r="P218" s="864"/>
      <c r="Q218" s="864"/>
      <c r="R218" s="864"/>
      <c r="S218" s="864"/>
      <c r="T218" s="877"/>
      <c r="U218" s="877"/>
      <c r="V218" s="864"/>
      <c r="W218" s="864"/>
      <c r="X218" s="864"/>
      <c r="Y218" s="418"/>
      <c r="Z218" s="419"/>
    </row>
    <row r="219" spans="1:26" x14ac:dyDescent="0.3">
      <c r="A219" s="873" t="s">
        <v>1129</v>
      </c>
      <c r="B219" s="873" t="s">
        <v>1129</v>
      </c>
      <c r="C219" s="905" t="s">
        <v>1130</v>
      </c>
      <c r="D219" s="869">
        <v>12000</v>
      </c>
      <c r="E219" s="880">
        <v>12610</v>
      </c>
      <c r="F219" s="870">
        <v>12000</v>
      </c>
      <c r="G219" s="843">
        <f t="shared" ref="G219:G227" si="32">F219*1/12</f>
        <v>1000</v>
      </c>
      <c r="H219" s="875">
        <v>800</v>
      </c>
      <c r="I219" s="845">
        <f t="shared" si="28"/>
        <v>2000</v>
      </c>
      <c r="J219" s="875">
        <v>2070</v>
      </c>
      <c r="K219" s="845">
        <f t="shared" si="29"/>
        <v>3000</v>
      </c>
      <c r="L219" s="875">
        <v>4210</v>
      </c>
      <c r="M219" s="875"/>
      <c r="N219" s="875"/>
      <c r="O219" s="875"/>
      <c r="P219" s="875"/>
      <c r="Q219" s="875"/>
      <c r="R219" s="875"/>
      <c r="S219" s="875"/>
      <c r="T219" s="875"/>
      <c r="U219" s="875"/>
      <c r="V219" s="875"/>
      <c r="W219" s="875"/>
      <c r="X219" s="875"/>
    </row>
    <row r="220" spans="1:26" x14ac:dyDescent="0.3">
      <c r="A220" s="873" t="s">
        <v>247</v>
      </c>
      <c r="B220" s="873" t="s">
        <v>247</v>
      </c>
      <c r="C220" s="905" t="s">
        <v>1131</v>
      </c>
      <c r="D220" s="869">
        <v>1500</v>
      </c>
      <c r="E220" s="878">
        <v>897.76</v>
      </c>
      <c r="F220" s="870">
        <v>1500</v>
      </c>
      <c r="G220" s="843">
        <f t="shared" si="32"/>
        <v>125</v>
      </c>
      <c r="H220" s="875">
        <v>0</v>
      </c>
      <c r="I220" s="845">
        <f t="shared" si="28"/>
        <v>250</v>
      </c>
      <c r="J220" s="875">
        <v>167.4</v>
      </c>
      <c r="K220" s="845">
        <f t="shared" si="29"/>
        <v>375</v>
      </c>
      <c r="L220" s="875">
        <v>787.43</v>
      </c>
      <c r="M220" s="875"/>
      <c r="N220" s="875"/>
      <c r="O220" s="875"/>
      <c r="P220" s="875"/>
      <c r="Q220" s="875"/>
      <c r="R220" s="875"/>
      <c r="S220" s="875"/>
      <c r="T220" s="875"/>
      <c r="U220" s="875"/>
      <c r="V220" s="875"/>
      <c r="W220" s="875"/>
      <c r="X220" s="875"/>
    </row>
    <row r="221" spans="1:26" x14ac:dyDescent="0.3">
      <c r="A221" s="873" t="s">
        <v>1132</v>
      </c>
      <c r="B221" s="873" t="s">
        <v>1132</v>
      </c>
      <c r="C221" s="906" t="s">
        <v>1133</v>
      </c>
      <c r="D221" s="869">
        <v>23000</v>
      </c>
      <c r="E221" s="878">
        <v>22905</v>
      </c>
      <c r="F221" s="870">
        <v>23000</v>
      </c>
      <c r="G221" s="843">
        <f t="shared" si="32"/>
        <v>1916.6666666666667</v>
      </c>
      <c r="H221" s="875">
        <v>0</v>
      </c>
      <c r="I221" s="845">
        <f t="shared" si="28"/>
        <v>3833.3333333333335</v>
      </c>
      <c r="J221" s="875">
        <v>105</v>
      </c>
      <c r="K221" s="845">
        <f t="shared" si="29"/>
        <v>5750</v>
      </c>
      <c r="L221" s="875">
        <v>105</v>
      </c>
      <c r="M221" s="875"/>
      <c r="N221" s="875"/>
      <c r="O221" s="875"/>
      <c r="P221" s="875"/>
      <c r="Q221" s="875"/>
      <c r="R221" s="875"/>
      <c r="S221" s="875"/>
      <c r="T221" s="875"/>
      <c r="U221" s="875"/>
      <c r="V221" s="875"/>
      <c r="W221" s="875"/>
      <c r="X221" s="875"/>
    </row>
    <row r="222" spans="1:26" x14ac:dyDescent="0.3">
      <c r="A222" s="873" t="s">
        <v>273</v>
      </c>
      <c r="B222" s="873" t="s">
        <v>273</v>
      </c>
      <c r="C222" s="905" t="s">
        <v>1134</v>
      </c>
      <c r="D222" s="869">
        <v>500</v>
      </c>
      <c r="E222" s="880">
        <v>551</v>
      </c>
      <c r="F222" s="870">
        <v>500</v>
      </c>
      <c r="G222" s="843">
        <f t="shared" si="32"/>
        <v>41.666666666666664</v>
      </c>
      <c r="H222" s="875">
        <v>152</v>
      </c>
      <c r="I222" s="845">
        <f t="shared" si="28"/>
        <v>83.333333333333329</v>
      </c>
      <c r="J222" s="875">
        <v>152</v>
      </c>
      <c r="K222" s="845">
        <f t="shared" si="29"/>
        <v>125</v>
      </c>
      <c r="L222" s="875">
        <v>202.97</v>
      </c>
      <c r="M222" s="875"/>
      <c r="N222" s="875"/>
      <c r="O222" s="875"/>
      <c r="P222" s="875"/>
      <c r="Q222" s="875"/>
      <c r="R222" s="875"/>
      <c r="S222" s="875"/>
      <c r="T222" s="875"/>
      <c r="U222" s="875"/>
      <c r="V222" s="881"/>
      <c r="W222" s="881"/>
      <c r="X222" s="875"/>
    </row>
    <row r="223" spans="1:26" x14ac:dyDescent="0.3">
      <c r="A223" s="873" t="s">
        <v>297</v>
      </c>
      <c r="B223" s="873" t="s">
        <v>247</v>
      </c>
      <c r="C223" s="905" t="s">
        <v>1135</v>
      </c>
      <c r="D223" s="869">
        <v>500</v>
      </c>
      <c r="E223" s="878">
        <v>0</v>
      </c>
      <c r="F223" s="870">
        <v>500</v>
      </c>
      <c r="G223" s="843">
        <f t="shared" si="32"/>
        <v>41.666666666666664</v>
      </c>
      <c r="H223" s="875">
        <v>0</v>
      </c>
      <c r="I223" s="845">
        <f t="shared" si="28"/>
        <v>83.333333333333329</v>
      </c>
      <c r="J223" s="875">
        <v>200</v>
      </c>
      <c r="K223" s="845">
        <f t="shared" si="29"/>
        <v>125</v>
      </c>
      <c r="L223" s="875">
        <v>200</v>
      </c>
      <c r="M223" s="875"/>
      <c r="N223" s="875"/>
      <c r="O223" s="875"/>
      <c r="P223" s="875"/>
      <c r="Q223" s="875"/>
      <c r="R223" s="875"/>
      <c r="S223" s="875"/>
      <c r="T223" s="875"/>
      <c r="U223" s="875"/>
      <c r="V223" s="875"/>
      <c r="W223" s="875"/>
      <c r="X223" s="875"/>
    </row>
    <row r="224" spans="1:26" x14ac:dyDescent="0.3">
      <c r="A224" s="873" t="s">
        <v>381</v>
      </c>
      <c r="B224" s="873" t="s">
        <v>273</v>
      </c>
      <c r="C224" s="906" t="s">
        <v>1136</v>
      </c>
      <c r="D224" s="869">
        <v>2000</v>
      </c>
      <c r="E224" s="878">
        <v>0</v>
      </c>
      <c r="F224" s="870">
        <v>2000</v>
      </c>
      <c r="G224" s="843">
        <f t="shared" si="32"/>
        <v>166.66666666666666</v>
      </c>
      <c r="H224" s="875">
        <v>0</v>
      </c>
      <c r="I224" s="845">
        <f t="shared" si="28"/>
        <v>333.33333333333331</v>
      </c>
      <c r="J224" s="875">
        <v>0</v>
      </c>
      <c r="K224" s="845">
        <f t="shared" si="29"/>
        <v>500</v>
      </c>
      <c r="L224" s="875">
        <v>0</v>
      </c>
      <c r="M224" s="875"/>
      <c r="N224" s="875"/>
      <c r="O224" s="875"/>
      <c r="P224" s="875"/>
      <c r="Q224" s="875"/>
      <c r="R224" s="875"/>
      <c r="S224" s="875"/>
      <c r="T224" s="875"/>
      <c r="U224" s="875"/>
      <c r="V224" s="875"/>
      <c r="W224" s="875"/>
      <c r="X224" s="875"/>
    </row>
    <row r="225" spans="1:26" x14ac:dyDescent="0.3">
      <c r="A225" s="873" t="s">
        <v>369</v>
      </c>
      <c r="B225" s="873" t="s">
        <v>273</v>
      </c>
      <c r="C225" s="905" t="s">
        <v>1137</v>
      </c>
      <c r="D225" s="869">
        <v>200</v>
      </c>
      <c r="E225" s="878">
        <v>0</v>
      </c>
      <c r="F225" s="870">
        <v>200</v>
      </c>
      <c r="G225" s="843">
        <f t="shared" si="32"/>
        <v>16.666666666666668</v>
      </c>
      <c r="H225" s="875">
        <v>0</v>
      </c>
      <c r="I225" s="845">
        <f t="shared" si="28"/>
        <v>33.333333333333336</v>
      </c>
      <c r="J225" s="875">
        <v>0</v>
      </c>
      <c r="K225" s="845">
        <f t="shared" si="29"/>
        <v>50</v>
      </c>
      <c r="L225" s="875">
        <v>0</v>
      </c>
      <c r="M225" s="875"/>
      <c r="N225" s="875"/>
      <c r="O225" s="875"/>
      <c r="P225" s="875"/>
      <c r="Q225" s="875"/>
      <c r="R225" s="875"/>
      <c r="S225" s="875"/>
      <c r="T225" s="875"/>
      <c r="U225" s="875"/>
      <c r="V225" s="875"/>
      <c r="W225" s="875"/>
      <c r="X225" s="875"/>
    </row>
    <row r="226" spans="1:26" x14ac:dyDescent="0.3">
      <c r="A226" s="873" t="s">
        <v>1138</v>
      </c>
      <c r="B226" s="873" t="s">
        <v>273</v>
      </c>
      <c r="C226" s="905" t="s">
        <v>1139</v>
      </c>
      <c r="D226" s="869">
        <v>1000</v>
      </c>
      <c r="E226" s="878">
        <v>30</v>
      </c>
      <c r="F226" s="870">
        <v>1000</v>
      </c>
      <c r="G226" s="843">
        <f t="shared" si="32"/>
        <v>83.333333333333329</v>
      </c>
      <c r="H226" s="875">
        <v>0</v>
      </c>
      <c r="I226" s="845">
        <f t="shared" si="28"/>
        <v>166.66666666666666</v>
      </c>
      <c r="J226" s="875">
        <v>0</v>
      </c>
      <c r="K226" s="845">
        <f t="shared" si="29"/>
        <v>250</v>
      </c>
      <c r="L226" s="875">
        <v>30</v>
      </c>
      <c r="M226" s="875"/>
      <c r="N226" s="875"/>
      <c r="O226" s="875"/>
      <c r="P226" s="875"/>
      <c r="Q226" s="875"/>
      <c r="R226" s="875"/>
      <c r="S226" s="875"/>
      <c r="T226" s="875"/>
      <c r="U226" s="875"/>
      <c r="V226" s="875"/>
      <c r="W226" s="875"/>
      <c r="X226" s="875"/>
    </row>
    <row r="227" spans="1:26" x14ac:dyDescent="0.3">
      <c r="A227" s="873" t="s">
        <v>1140</v>
      </c>
      <c r="B227" s="873" t="s">
        <v>273</v>
      </c>
      <c r="C227" s="905" t="s">
        <v>1141</v>
      </c>
      <c r="D227" s="869">
        <v>500</v>
      </c>
      <c r="E227" s="878">
        <v>0</v>
      </c>
      <c r="F227" s="870">
        <v>500</v>
      </c>
      <c r="G227" s="843">
        <f t="shared" si="32"/>
        <v>41.666666666666664</v>
      </c>
      <c r="H227" s="875">
        <v>0</v>
      </c>
      <c r="I227" s="845">
        <f t="shared" si="28"/>
        <v>83.333333333333329</v>
      </c>
      <c r="J227" s="875">
        <v>0</v>
      </c>
      <c r="K227" s="845">
        <f t="shared" si="29"/>
        <v>125</v>
      </c>
      <c r="L227" s="875">
        <v>0</v>
      </c>
      <c r="M227" s="875"/>
      <c r="N227" s="875"/>
      <c r="O227" s="875"/>
      <c r="P227" s="875"/>
      <c r="Q227" s="875"/>
      <c r="R227" s="875"/>
      <c r="S227" s="875"/>
      <c r="T227" s="875"/>
      <c r="U227" s="875"/>
      <c r="V227" s="875"/>
      <c r="W227" s="875"/>
      <c r="X227" s="875"/>
    </row>
    <row r="228" spans="1:26" s="420" customFormat="1" x14ac:dyDescent="0.3">
      <c r="A228" s="859" t="s">
        <v>1142</v>
      </c>
      <c r="B228" s="859"/>
      <c r="C228" s="860" t="s">
        <v>1143</v>
      </c>
      <c r="D228" s="861"/>
      <c r="E228" s="879"/>
      <c r="F228" s="863"/>
      <c r="G228" s="863"/>
      <c r="H228" s="864"/>
      <c r="I228" s="864"/>
      <c r="J228" s="865"/>
      <c r="K228" s="865"/>
      <c r="L228" s="865"/>
      <c r="M228" s="865"/>
      <c r="N228" s="865"/>
      <c r="O228" s="865"/>
      <c r="P228" s="865"/>
      <c r="Q228" s="865"/>
      <c r="R228" s="864"/>
      <c r="S228" s="864"/>
      <c r="T228" s="877"/>
      <c r="U228" s="877"/>
      <c r="V228" s="864"/>
      <c r="W228" s="864"/>
      <c r="X228" s="864"/>
      <c r="Y228" s="418"/>
      <c r="Z228" s="419"/>
    </row>
    <row r="229" spans="1:26" x14ac:dyDescent="0.3">
      <c r="A229" s="873" t="s">
        <v>1144</v>
      </c>
      <c r="B229" s="873" t="s">
        <v>1144</v>
      </c>
      <c r="C229" s="905" t="s">
        <v>1145</v>
      </c>
      <c r="D229" s="869">
        <v>14000</v>
      </c>
      <c r="E229" s="851">
        <v>11870</v>
      </c>
      <c r="F229" s="870">
        <v>14000</v>
      </c>
      <c r="G229" s="843">
        <f t="shared" ref="G229:G237" si="33">F229*1/12</f>
        <v>1166.6666666666667</v>
      </c>
      <c r="H229" s="846">
        <v>800</v>
      </c>
      <c r="I229" s="845">
        <f t="shared" si="28"/>
        <v>2333.3333333333335</v>
      </c>
      <c r="J229" s="846">
        <v>1600</v>
      </c>
      <c r="K229" s="845">
        <f t="shared" si="29"/>
        <v>3500</v>
      </c>
      <c r="L229" s="846">
        <v>2560</v>
      </c>
      <c r="M229" s="846"/>
      <c r="N229" s="846"/>
      <c r="O229" s="846"/>
      <c r="P229" s="846"/>
      <c r="Q229" s="846"/>
      <c r="R229" s="846"/>
      <c r="S229" s="846"/>
      <c r="T229" s="846"/>
      <c r="U229" s="846"/>
      <c r="V229" s="846"/>
      <c r="W229" s="846"/>
      <c r="X229" s="847"/>
    </row>
    <row r="230" spans="1:26" x14ac:dyDescent="0.3">
      <c r="A230" s="873" t="s">
        <v>249</v>
      </c>
      <c r="B230" s="873" t="s">
        <v>249</v>
      </c>
      <c r="C230" s="905" t="s">
        <v>1146</v>
      </c>
      <c r="D230" s="869">
        <v>8000</v>
      </c>
      <c r="E230" s="851">
        <v>1852.7</v>
      </c>
      <c r="F230" s="870">
        <v>8000</v>
      </c>
      <c r="G230" s="843">
        <f t="shared" si="33"/>
        <v>666.66666666666663</v>
      </c>
      <c r="H230" s="846">
        <v>0</v>
      </c>
      <c r="I230" s="845">
        <f t="shared" si="28"/>
        <v>1333.3333333333333</v>
      </c>
      <c r="J230" s="846">
        <v>0</v>
      </c>
      <c r="K230" s="845">
        <f t="shared" si="29"/>
        <v>2000</v>
      </c>
      <c r="L230" s="846">
        <v>184.05</v>
      </c>
      <c r="M230" s="846"/>
      <c r="N230" s="846"/>
      <c r="O230" s="846"/>
      <c r="P230" s="846"/>
      <c r="Q230" s="846"/>
      <c r="R230" s="846"/>
      <c r="S230" s="846"/>
      <c r="T230" s="846"/>
      <c r="U230" s="846"/>
      <c r="V230" s="846"/>
      <c r="W230" s="846"/>
      <c r="X230" s="847"/>
    </row>
    <row r="231" spans="1:26" x14ac:dyDescent="0.3">
      <c r="A231" s="873" t="s">
        <v>1147</v>
      </c>
      <c r="B231" s="873" t="s">
        <v>1147</v>
      </c>
      <c r="C231" s="906" t="s">
        <v>1148</v>
      </c>
      <c r="D231" s="869">
        <v>42000</v>
      </c>
      <c r="E231" s="851">
        <v>25892.880000000001</v>
      </c>
      <c r="F231" s="870">
        <v>42000</v>
      </c>
      <c r="G231" s="843">
        <f t="shared" si="33"/>
        <v>3500</v>
      </c>
      <c r="H231" s="846">
        <v>0</v>
      </c>
      <c r="I231" s="845">
        <f t="shared" si="28"/>
        <v>7000</v>
      </c>
      <c r="J231" s="846">
        <v>1691.82</v>
      </c>
      <c r="K231" s="845">
        <f t="shared" si="29"/>
        <v>10500</v>
      </c>
      <c r="L231" s="846">
        <v>1691.82</v>
      </c>
      <c r="M231" s="846"/>
      <c r="N231" s="846"/>
      <c r="O231" s="846"/>
      <c r="P231" s="846"/>
      <c r="Q231" s="846"/>
      <c r="R231" s="846"/>
      <c r="S231" s="846"/>
      <c r="T231" s="846"/>
      <c r="U231" s="846"/>
      <c r="V231" s="846"/>
      <c r="W231" s="846"/>
      <c r="X231" s="846"/>
    </row>
    <row r="232" spans="1:26" x14ac:dyDescent="0.3">
      <c r="A232" s="873" t="s">
        <v>276</v>
      </c>
      <c r="B232" s="873" t="s">
        <v>276</v>
      </c>
      <c r="C232" s="905" t="s">
        <v>1149</v>
      </c>
      <c r="D232" s="869">
        <v>2000</v>
      </c>
      <c r="E232" s="851">
        <v>144</v>
      </c>
      <c r="F232" s="870">
        <v>2000</v>
      </c>
      <c r="G232" s="843">
        <f t="shared" si="33"/>
        <v>166.66666666666666</v>
      </c>
      <c r="H232" s="846">
        <v>0</v>
      </c>
      <c r="I232" s="845">
        <f t="shared" si="28"/>
        <v>333.33333333333331</v>
      </c>
      <c r="J232" s="846">
        <v>0</v>
      </c>
      <c r="K232" s="845">
        <f t="shared" si="29"/>
        <v>500</v>
      </c>
      <c r="L232" s="846">
        <v>432.99</v>
      </c>
      <c r="M232" s="846"/>
      <c r="N232" s="846"/>
      <c r="O232" s="846"/>
      <c r="P232" s="846"/>
      <c r="Q232" s="846"/>
      <c r="R232" s="846"/>
      <c r="S232" s="846"/>
      <c r="T232" s="846"/>
      <c r="U232" s="846"/>
      <c r="V232" s="846"/>
      <c r="W232" s="846"/>
      <c r="X232" s="847"/>
    </row>
    <row r="233" spans="1:26" x14ac:dyDescent="0.3">
      <c r="A233" s="873" t="s">
        <v>299</v>
      </c>
      <c r="B233" s="873" t="s">
        <v>249</v>
      </c>
      <c r="C233" s="905" t="s">
        <v>1150</v>
      </c>
      <c r="D233" s="869">
        <v>500</v>
      </c>
      <c r="E233" s="851">
        <v>24</v>
      </c>
      <c r="F233" s="870">
        <v>500</v>
      </c>
      <c r="G233" s="843">
        <f t="shared" si="33"/>
        <v>41.666666666666664</v>
      </c>
      <c r="H233" s="846">
        <v>0</v>
      </c>
      <c r="I233" s="845">
        <f t="shared" si="28"/>
        <v>83.333333333333329</v>
      </c>
      <c r="J233" s="846">
        <v>0</v>
      </c>
      <c r="K233" s="845">
        <f t="shared" si="29"/>
        <v>125</v>
      </c>
      <c r="L233" s="846">
        <v>0</v>
      </c>
      <c r="M233" s="846"/>
      <c r="N233" s="846"/>
      <c r="O233" s="846"/>
      <c r="P233" s="846"/>
      <c r="Q233" s="846"/>
      <c r="R233" s="846"/>
      <c r="S233" s="846"/>
      <c r="T233" s="846"/>
      <c r="U233" s="846"/>
      <c r="V233" s="846"/>
      <c r="W233" s="846"/>
      <c r="X233" s="846"/>
    </row>
    <row r="234" spans="1:26" x14ac:dyDescent="0.3">
      <c r="A234" s="873" t="s">
        <v>383</v>
      </c>
      <c r="B234" s="873" t="s">
        <v>276</v>
      </c>
      <c r="C234" s="906" t="s">
        <v>1151</v>
      </c>
      <c r="D234" s="869">
        <v>4000</v>
      </c>
      <c r="E234" s="851">
        <v>0</v>
      </c>
      <c r="F234" s="870">
        <v>4000</v>
      </c>
      <c r="G234" s="843">
        <f t="shared" si="33"/>
        <v>333.33333333333331</v>
      </c>
      <c r="H234" s="846">
        <v>0</v>
      </c>
      <c r="I234" s="845">
        <f t="shared" si="28"/>
        <v>666.66666666666663</v>
      </c>
      <c r="J234" s="846">
        <v>0</v>
      </c>
      <c r="K234" s="845">
        <f t="shared" si="29"/>
        <v>1000</v>
      </c>
      <c r="L234" s="846">
        <v>0</v>
      </c>
      <c r="M234" s="846"/>
      <c r="N234" s="846"/>
      <c r="O234" s="846"/>
      <c r="P234" s="846"/>
      <c r="Q234" s="846"/>
      <c r="R234" s="846"/>
      <c r="S234" s="846"/>
      <c r="T234" s="846"/>
      <c r="U234" s="846"/>
      <c r="V234" s="846"/>
      <c r="W234" s="846"/>
      <c r="X234" s="847"/>
    </row>
    <row r="235" spans="1:26" x14ac:dyDescent="0.3">
      <c r="A235" s="873" t="s">
        <v>371</v>
      </c>
      <c r="B235" s="873" t="s">
        <v>276</v>
      </c>
      <c r="C235" s="905" t="s">
        <v>1152</v>
      </c>
      <c r="D235" s="869">
        <v>300</v>
      </c>
      <c r="E235" s="851">
        <v>0</v>
      </c>
      <c r="F235" s="870">
        <v>300</v>
      </c>
      <c r="G235" s="843">
        <f t="shared" si="33"/>
        <v>25</v>
      </c>
      <c r="H235" s="846">
        <v>0</v>
      </c>
      <c r="I235" s="845">
        <f t="shared" si="28"/>
        <v>50</v>
      </c>
      <c r="J235" s="846">
        <v>0</v>
      </c>
      <c r="K235" s="845">
        <f t="shared" si="29"/>
        <v>75</v>
      </c>
      <c r="L235" s="846">
        <v>0</v>
      </c>
      <c r="M235" s="846"/>
      <c r="N235" s="846"/>
      <c r="O235" s="846"/>
      <c r="P235" s="846"/>
      <c r="Q235" s="846"/>
      <c r="R235" s="846"/>
      <c r="S235" s="846"/>
      <c r="T235" s="846"/>
      <c r="U235" s="846"/>
      <c r="V235" s="846"/>
      <c r="W235" s="846"/>
      <c r="X235" s="846"/>
    </row>
    <row r="236" spans="1:26" x14ac:dyDescent="0.3">
      <c r="A236" s="873" t="s">
        <v>1153</v>
      </c>
      <c r="B236" s="873" t="s">
        <v>276</v>
      </c>
      <c r="C236" s="905" t="s">
        <v>1154</v>
      </c>
      <c r="D236" s="869">
        <v>3000</v>
      </c>
      <c r="E236" s="851">
        <v>2559.1</v>
      </c>
      <c r="F236" s="870">
        <v>3000</v>
      </c>
      <c r="G236" s="843">
        <f t="shared" si="33"/>
        <v>250</v>
      </c>
      <c r="H236" s="846">
        <v>99</v>
      </c>
      <c r="I236" s="845">
        <f t="shared" si="28"/>
        <v>500</v>
      </c>
      <c r="J236" s="846">
        <v>258</v>
      </c>
      <c r="K236" s="845">
        <f t="shared" si="29"/>
        <v>750</v>
      </c>
      <c r="L236" s="846">
        <v>258</v>
      </c>
      <c r="M236" s="846"/>
      <c r="N236" s="846"/>
      <c r="O236" s="846"/>
      <c r="P236" s="846"/>
      <c r="Q236" s="846"/>
      <c r="R236" s="846"/>
      <c r="S236" s="846"/>
      <c r="T236" s="846"/>
      <c r="U236" s="846"/>
      <c r="V236" s="846"/>
      <c r="W236" s="846"/>
      <c r="X236" s="846"/>
    </row>
    <row r="237" spans="1:26" x14ac:dyDescent="0.3">
      <c r="A237" s="873" t="s">
        <v>1155</v>
      </c>
      <c r="B237" s="873" t="s">
        <v>276</v>
      </c>
      <c r="C237" s="905" t="s">
        <v>1156</v>
      </c>
      <c r="D237" s="869">
        <v>1500</v>
      </c>
      <c r="E237" s="851">
        <v>160.65</v>
      </c>
      <c r="F237" s="870">
        <v>1500</v>
      </c>
      <c r="G237" s="843">
        <f t="shared" si="33"/>
        <v>125</v>
      </c>
      <c r="H237" s="846">
        <v>0</v>
      </c>
      <c r="I237" s="845">
        <f t="shared" si="28"/>
        <v>250</v>
      </c>
      <c r="J237" s="846">
        <v>0</v>
      </c>
      <c r="K237" s="845">
        <f t="shared" si="29"/>
        <v>375</v>
      </c>
      <c r="L237" s="846">
        <v>0</v>
      </c>
      <c r="M237" s="846"/>
      <c r="N237" s="846"/>
      <c r="O237" s="846"/>
      <c r="P237" s="846"/>
      <c r="Q237" s="846"/>
      <c r="R237" s="846"/>
      <c r="S237" s="846"/>
      <c r="T237" s="846"/>
      <c r="U237" s="846"/>
      <c r="V237" s="846"/>
      <c r="W237" s="846"/>
      <c r="X237" s="846"/>
    </row>
    <row r="238" spans="1:26" s="420" customFormat="1" x14ac:dyDescent="0.3">
      <c r="A238" s="859" t="s">
        <v>1157</v>
      </c>
      <c r="B238" s="859"/>
      <c r="C238" s="860" t="s">
        <v>1158</v>
      </c>
      <c r="D238" s="861"/>
      <c r="E238" s="882"/>
      <c r="F238" s="863"/>
      <c r="G238" s="863"/>
      <c r="H238" s="865"/>
      <c r="I238" s="864"/>
      <c r="J238" s="865"/>
      <c r="K238" s="865"/>
      <c r="L238" s="865"/>
      <c r="M238" s="865"/>
      <c r="N238" s="865"/>
      <c r="O238" s="865"/>
      <c r="P238" s="865"/>
      <c r="Q238" s="865"/>
      <c r="R238" s="865"/>
      <c r="S238" s="865"/>
      <c r="T238" s="866"/>
      <c r="U238" s="866"/>
      <c r="V238" s="865"/>
      <c r="W238" s="865"/>
      <c r="X238" s="865"/>
      <c r="Y238" s="418"/>
      <c r="Z238" s="419"/>
    </row>
    <row r="239" spans="1:26" x14ac:dyDescent="0.3">
      <c r="A239" s="873" t="s">
        <v>1159</v>
      </c>
      <c r="B239" s="873" t="s">
        <v>1159</v>
      </c>
      <c r="C239" s="905" t="s">
        <v>1160</v>
      </c>
      <c r="D239" s="869">
        <v>13000</v>
      </c>
      <c r="E239" s="851">
        <v>9870</v>
      </c>
      <c r="F239" s="870">
        <v>13000</v>
      </c>
      <c r="G239" s="843">
        <f t="shared" ref="G239:G247" si="34">F239*1/12</f>
        <v>1083.3333333333333</v>
      </c>
      <c r="H239" s="846">
        <v>800</v>
      </c>
      <c r="I239" s="845">
        <f t="shared" si="28"/>
        <v>2166.6666666666665</v>
      </c>
      <c r="J239" s="846">
        <v>1600</v>
      </c>
      <c r="K239" s="845">
        <f t="shared" si="29"/>
        <v>3250</v>
      </c>
      <c r="L239" s="846">
        <v>2400</v>
      </c>
      <c r="M239" s="846"/>
      <c r="N239" s="846"/>
      <c r="O239" s="846"/>
      <c r="P239" s="846"/>
      <c r="Q239" s="846"/>
      <c r="R239" s="846"/>
      <c r="S239" s="846"/>
      <c r="T239" s="846"/>
      <c r="U239" s="846"/>
      <c r="V239" s="846"/>
      <c r="W239" s="846"/>
      <c r="X239" s="846"/>
    </row>
    <row r="240" spans="1:26" x14ac:dyDescent="0.3">
      <c r="A240" s="873" t="s">
        <v>251</v>
      </c>
      <c r="B240" s="873" t="s">
        <v>251</v>
      </c>
      <c r="C240" s="905" t="s">
        <v>1161</v>
      </c>
      <c r="D240" s="869">
        <v>4000</v>
      </c>
      <c r="E240" s="851">
        <v>172.05</v>
      </c>
      <c r="F240" s="870">
        <v>4000</v>
      </c>
      <c r="G240" s="843">
        <f t="shared" si="34"/>
        <v>333.33333333333331</v>
      </c>
      <c r="H240" s="846">
        <v>0</v>
      </c>
      <c r="I240" s="845">
        <f t="shared" si="28"/>
        <v>666.66666666666663</v>
      </c>
      <c r="J240" s="846">
        <v>0</v>
      </c>
      <c r="K240" s="845">
        <f t="shared" si="29"/>
        <v>1000</v>
      </c>
      <c r="L240" s="846">
        <v>0</v>
      </c>
      <c r="M240" s="846"/>
      <c r="N240" s="846"/>
      <c r="O240" s="846"/>
      <c r="P240" s="846"/>
      <c r="Q240" s="846"/>
      <c r="R240" s="846"/>
      <c r="S240" s="846"/>
      <c r="T240" s="846"/>
      <c r="U240" s="846"/>
      <c r="V240" s="846"/>
      <c r="W240" s="846"/>
      <c r="X240" s="847"/>
    </row>
    <row r="241" spans="1:26" x14ac:dyDescent="0.3">
      <c r="A241" s="873" t="s">
        <v>1162</v>
      </c>
      <c r="B241" s="873" t="s">
        <v>1162</v>
      </c>
      <c r="C241" s="905" t="s">
        <v>1163</v>
      </c>
      <c r="D241" s="869">
        <v>15000</v>
      </c>
      <c r="E241" s="880">
        <v>17613.75</v>
      </c>
      <c r="F241" s="870">
        <v>15000</v>
      </c>
      <c r="G241" s="843">
        <f t="shared" si="34"/>
        <v>1250</v>
      </c>
      <c r="H241" s="846">
        <v>0</v>
      </c>
      <c r="I241" s="845">
        <f t="shared" si="28"/>
        <v>2500</v>
      </c>
      <c r="J241" s="846">
        <v>880</v>
      </c>
      <c r="K241" s="845">
        <f t="shared" si="29"/>
        <v>3750</v>
      </c>
      <c r="L241" s="846">
        <v>880</v>
      </c>
      <c r="M241" s="846"/>
      <c r="N241" s="846"/>
      <c r="O241" s="846"/>
      <c r="P241" s="846"/>
      <c r="Q241" s="846"/>
      <c r="R241" s="846"/>
      <c r="S241" s="846"/>
      <c r="T241" s="846"/>
      <c r="U241" s="846"/>
      <c r="V241" s="881"/>
      <c r="W241" s="881"/>
      <c r="X241" s="846"/>
    </row>
    <row r="242" spans="1:26" x14ac:dyDescent="0.3">
      <c r="A242" s="873" t="s">
        <v>279</v>
      </c>
      <c r="B242" s="873" t="s">
        <v>279</v>
      </c>
      <c r="C242" s="905" t="s">
        <v>1164</v>
      </c>
      <c r="D242" s="869">
        <v>1000</v>
      </c>
      <c r="E242" s="851">
        <v>0</v>
      </c>
      <c r="F242" s="870">
        <v>1000</v>
      </c>
      <c r="G242" s="843">
        <f t="shared" si="34"/>
        <v>83.333333333333329</v>
      </c>
      <c r="H242" s="846">
        <v>0</v>
      </c>
      <c r="I242" s="845">
        <f t="shared" si="28"/>
        <v>166.66666666666666</v>
      </c>
      <c r="J242" s="846">
        <v>0</v>
      </c>
      <c r="K242" s="845">
        <f t="shared" si="29"/>
        <v>250</v>
      </c>
      <c r="L242" s="846">
        <v>0</v>
      </c>
      <c r="M242" s="846"/>
      <c r="N242" s="846"/>
      <c r="O242" s="846"/>
      <c r="P242" s="846"/>
      <c r="Q242" s="846"/>
      <c r="R242" s="846"/>
      <c r="S242" s="846"/>
      <c r="T242" s="846"/>
      <c r="U242" s="846"/>
      <c r="V242" s="846"/>
      <c r="W242" s="846"/>
      <c r="X242" s="846"/>
    </row>
    <row r="243" spans="1:26" x14ac:dyDescent="0.3">
      <c r="A243" s="873" t="s">
        <v>301</v>
      </c>
      <c r="B243" s="873" t="s">
        <v>251</v>
      </c>
      <c r="C243" s="905" t="s">
        <v>1165</v>
      </c>
      <c r="D243" s="869">
        <v>250</v>
      </c>
      <c r="E243" s="851">
        <v>0</v>
      </c>
      <c r="F243" s="870">
        <v>250</v>
      </c>
      <c r="G243" s="843">
        <f t="shared" si="34"/>
        <v>20.833333333333332</v>
      </c>
      <c r="H243" s="846">
        <v>0</v>
      </c>
      <c r="I243" s="845">
        <f t="shared" si="28"/>
        <v>41.666666666666664</v>
      </c>
      <c r="J243" s="846">
        <v>0</v>
      </c>
      <c r="K243" s="845">
        <f t="shared" si="29"/>
        <v>62.5</v>
      </c>
      <c r="L243" s="846">
        <v>0</v>
      </c>
      <c r="M243" s="846"/>
      <c r="N243" s="846"/>
      <c r="O243" s="846"/>
      <c r="P243" s="846"/>
      <c r="Q243" s="846"/>
      <c r="R243" s="846"/>
      <c r="S243" s="846"/>
      <c r="T243" s="846"/>
      <c r="U243" s="846"/>
      <c r="V243" s="846"/>
      <c r="W243" s="846"/>
      <c r="X243" s="846"/>
    </row>
    <row r="244" spans="1:26" x14ac:dyDescent="0.3">
      <c r="A244" s="873" t="s">
        <v>384</v>
      </c>
      <c r="B244" s="873" t="s">
        <v>279</v>
      </c>
      <c r="C244" s="906" t="s">
        <v>1166</v>
      </c>
      <c r="D244" s="869">
        <v>1500</v>
      </c>
      <c r="E244" s="851">
        <v>0</v>
      </c>
      <c r="F244" s="870">
        <v>1500</v>
      </c>
      <c r="G244" s="843">
        <f t="shared" si="34"/>
        <v>125</v>
      </c>
      <c r="H244" s="846">
        <v>0</v>
      </c>
      <c r="I244" s="845">
        <f t="shared" si="28"/>
        <v>250</v>
      </c>
      <c r="J244" s="846">
        <v>0</v>
      </c>
      <c r="K244" s="845">
        <f t="shared" si="29"/>
        <v>375</v>
      </c>
      <c r="L244" s="846">
        <v>0</v>
      </c>
      <c r="M244" s="846"/>
      <c r="N244" s="846"/>
      <c r="O244" s="846"/>
      <c r="P244" s="846"/>
      <c r="Q244" s="846"/>
      <c r="R244" s="846"/>
      <c r="S244" s="846"/>
      <c r="T244" s="846"/>
      <c r="U244" s="846"/>
      <c r="V244" s="846"/>
      <c r="W244" s="846"/>
      <c r="X244" s="846"/>
    </row>
    <row r="245" spans="1:26" x14ac:dyDescent="0.3">
      <c r="A245" s="873" t="s">
        <v>373</v>
      </c>
      <c r="B245" s="873" t="s">
        <v>279</v>
      </c>
      <c r="C245" s="905" t="s">
        <v>1167</v>
      </c>
      <c r="D245" s="869">
        <v>200</v>
      </c>
      <c r="E245" s="851">
        <v>0</v>
      </c>
      <c r="F245" s="870">
        <v>200</v>
      </c>
      <c r="G245" s="843">
        <f t="shared" si="34"/>
        <v>16.666666666666668</v>
      </c>
      <c r="H245" s="846">
        <v>0</v>
      </c>
      <c r="I245" s="845">
        <f t="shared" si="28"/>
        <v>33.333333333333336</v>
      </c>
      <c r="J245" s="846">
        <v>0</v>
      </c>
      <c r="K245" s="845">
        <f t="shared" si="29"/>
        <v>50</v>
      </c>
      <c r="L245" s="846">
        <v>0</v>
      </c>
      <c r="M245" s="846"/>
      <c r="N245" s="846"/>
      <c r="O245" s="846"/>
      <c r="P245" s="846"/>
      <c r="Q245" s="846"/>
      <c r="R245" s="846"/>
      <c r="S245" s="846"/>
      <c r="T245" s="846"/>
      <c r="U245" s="846"/>
      <c r="V245" s="846"/>
      <c r="W245" s="846"/>
      <c r="X245" s="847"/>
    </row>
    <row r="246" spans="1:26" x14ac:dyDescent="0.3">
      <c r="A246" s="873" t="s">
        <v>1168</v>
      </c>
      <c r="B246" s="873" t="s">
        <v>279</v>
      </c>
      <c r="C246" s="905" t="s">
        <v>1169</v>
      </c>
      <c r="D246" s="869">
        <v>1500</v>
      </c>
      <c r="E246" s="851">
        <v>149.83000000000001</v>
      </c>
      <c r="F246" s="870">
        <v>1500</v>
      </c>
      <c r="G246" s="843">
        <f t="shared" si="34"/>
        <v>125</v>
      </c>
      <c r="H246" s="846">
        <v>0</v>
      </c>
      <c r="I246" s="845">
        <f t="shared" si="28"/>
        <v>250</v>
      </c>
      <c r="J246" s="846">
        <v>0</v>
      </c>
      <c r="K246" s="845">
        <f t="shared" si="29"/>
        <v>375</v>
      </c>
      <c r="L246" s="846">
        <v>0</v>
      </c>
      <c r="M246" s="846"/>
      <c r="N246" s="846"/>
      <c r="O246" s="846"/>
      <c r="P246" s="846"/>
      <c r="Q246" s="846"/>
      <c r="R246" s="846"/>
      <c r="S246" s="846"/>
      <c r="T246" s="846"/>
      <c r="U246" s="846"/>
      <c r="V246" s="846"/>
      <c r="W246" s="846"/>
      <c r="X246" s="846"/>
    </row>
    <row r="247" spans="1:26" x14ac:dyDescent="0.3">
      <c r="A247" s="873" t="s">
        <v>1170</v>
      </c>
      <c r="B247" s="873" t="s">
        <v>279</v>
      </c>
      <c r="C247" s="905" t="s">
        <v>1171</v>
      </c>
      <c r="D247" s="869">
        <v>250</v>
      </c>
      <c r="E247" s="851">
        <v>0</v>
      </c>
      <c r="F247" s="870">
        <v>250</v>
      </c>
      <c r="G247" s="843">
        <f t="shared" si="34"/>
        <v>20.833333333333332</v>
      </c>
      <c r="H247" s="846">
        <v>0</v>
      </c>
      <c r="I247" s="845">
        <f t="shared" si="28"/>
        <v>41.666666666666664</v>
      </c>
      <c r="J247" s="846">
        <v>0</v>
      </c>
      <c r="K247" s="845">
        <f t="shared" si="29"/>
        <v>62.5</v>
      </c>
      <c r="L247" s="846">
        <v>0</v>
      </c>
      <c r="M247" s="846"/>
      <c r="N247" s="846"/>
      <c r="O247" s="846"/>
      <c r="P247" s="846"/>
      <c r="Q247" s="846"/>
      <c r="R247" s="846"/>
      <c r="S247" s="846"/>
      <c r="T247" s="846"/>
      <c r="U247" s="846"/>
      <c r="V247" s="846"/>
      <c r="W247" s="846"/>
      <c r="X247" s="846"/>
    </row>
    <row r="248" spans="1:26" s="420" customFormat="1" x14ac:dyDescent="0.3">
      <c r="A248" s="888" t="s">
        <v>1172</v>
      </c>
      <c r="B248" s="888"/>
      <c r="C248" s="889" t="s">
        <v>1173</v>
      </c>
      <c r="D248" s="861"/>
      <c r="E248" s="879"/>
      <c r="F248" s="863"/>
      <c r="G248" s="863"/>
      <c r="H248" s="863"/>
      <c r="I248" s="864"/>
      <c r="J248" s="864"/>
      <c r="K248" s="865"/>
      <c r="L248" s="864"/>
      <c r="M248" s="864"/>
      <c r="N248" s="864"/>
      <c r="O248" s="864"/>
      <c r="P248" s="864"/>
      <c r="Q248" s="864"/>
      <c r="R248" s="864"/>
      <c r="S248" s="864"/>
      <c r="T248" s="877"/>
      <c r="U248" s="877"/>
      <c r="V248" s="864"/>
      <c r="W248" s="864"/>
      <c r="X248" s="864"/>
      <c r="Y248" s="418"/>
      <c r="Z248" s="419"/>
    </row>
    <row r="249" spans="1:26" x14ac:dyDescent="0.3">
      <c r="A249" s="892" t="s">
        <v>467</v>
      </c>
      <c r="B249" s="892" t="s">
        <v>473</v>
      </c>
      <c r="C249" s="893" t="s">
        <v>468</v>
      </c>
      <c r="D249" s="869">
        <v>60000</v>
      </c>
      <c r="E249" s="878">
        <v>44554.29</v>
      </c>
      <c r="F249" s="870">
        <v>60000</v>
      </c>
      <c r="G249" s="843">
        <f>F249*1/12</f>
        <v>5000</v>
      </c>
      <c r="H249" s="875">
        <v>3143.25</v>
      </c>
      <c r="I249" s="845">
        <f t="shared" si="28"/>
        <v>10000</v>
      </c>
      <c r="J249" s="875">
        <v>5783.25</v>
      </c>
      <c r="K249" s="845">
        <f t="shared" si="29"/>
        <v>15000</v>
      </c>
      <c r="L249" s="875">
        <v>5783.25</v>
      </c>
      <c r="M249" s="875"/>
      <c r="N249" s="875"/>
      <c r="O249" s="875"/>
      <c r="P249" s="875"/>
      <c r="Q249" s="875"/>
      <c r="R249" s="875"/>
      <c r="S249" s="875"/>
      <c r="T249" s="875"/>
      <c r="U249" s="875"/>
      <c r="V249" s="875"/>
      <c r="W249" s="875"/>
      <c r="X249" s="875"/>
    </row>
    <row r="250" spans="1:26" x14ac:dyDescent="0.3">
      <c r="A250" s="892" t="s">
        <v>470</v>
      </c>
      <c r="B250" s="892" t="s">
        <v>473</v>
      </c>
      <c r="C250" s="893" t="s">
        <v>1174</v>
      </c>
      <c r="D250" s="869">
        <v>50000</v>
      </c>
      <c r="E250" s="878">
        <v>45570</v>
      </c>
      <c r="F250" s="870">
        <v>50000</v>
      </c>
      <c r="G250" s="843">
        <f>F250*1/12</f>
        <v>4166.666666666667</v>
      </c>
      <c r="H250" s="875">
        <v>2700</v>
      </c>
      <c r="I250" s="845">
        <f t="shared" si="28"/>
        <v>8333.3333333333339</v>
      </c>
      <c r="J250" s="875">
        <v>3770</v>
      </c>
      <c r="K250" s="845">
        <f t="shared" si="29"/>
        <v>12500</v>
      </c>
      <c r="L250" s="875">
        <v>4470</v>
      </c>
      <c r="M250" s="875"/>
      <c r="N250" s="875"/>
      <c r="O250" s="875"/>
      <c r="P250" s="875"/>
      <c r="Q250" s="875"/>
      <c r="R250" s="875"/>
      <c r="S250" s="875"/>
      <c r="T250" s="875"/>
      <c r="U250" s="875"/>
      <c r="V250" s="875"/>
      <c r="W250" s="875"/>
      <c r="X250" s="875"/>
    </row>
    <row r="251" spans="1:26" x14ac:dyDescent="0.3">
      <c r="A251" s="892" t="s">
        <v>473</v>
      </c>
      <c r="B251" s="892" t="s">
        <v>482</v>
      </c>
      <c r="C251" s="893" t="s">
        <v>1175</v>
      </c>
      <c r="D251" s="869">
        <v>8000</v>
      </c>
      <c r="E251" s="878">
        <v>265.37</v>
      </c>
      <c r="F251" s="870">
        <v>8000</v>
      </c>
      <c r="G251" s="843">
        <f>F251*1/12</f>
        <v>666.66666666666663</v>
      </c>
      <c r="H251" s="875">
        <v>431.48</v>
      </c>
      <c r="I251" s="845">
        <f t="shared" si="28"/>
        <v>1333.3333333333333</v>
      </c>
      <c r="J251" s="875">
        <v>431.48</v>
      </c>
      <c r="K251" s="845">
        <f t="shared" si="29"/>
        <v>2000</v>
      </c>
      <c r="L251" s="875">
        <v>517.72</v>
      </c>
      <c r="M251" s="875"/>
      <c r="N251" s="875"/>
      <c r="O251" s="875"/>
      <c r="P251" s="875"/>
      <c r="Q251" s="875"/>
      <c r="R251" s="875"/>
      <c r="S251" s="875"/>
      <c r="T251" s="875"/>
      <c r="U251" s="875"/>
      <c r="V251" s="875"/>
      <c r="W251" s="875"/>
      <c r="X251" s="875"/>
    </row>
    <row r="252" spans="1:26" x14ac:dyDescent="0.3">
      <c r="A252" s="892" t="s">
        <v>482</v>
      </c>
      <c r="B252" s="892" t="s">
        <v>482</v>
      </c>
      <c r="C252" s="893" t="s">
        <v>1176</v>
      </c>
      <c r="D252" s="869">
        <v>500</v>
      </c>
      <c r="E252" s="851">
        <v>0</v>
      </c>
      <c r="F252" s="870">
        <v>500</v>
      </c>
      <c r="G252" s="843">
        <f>F252*1/12</f>
        <v>41.666666666666664</v>
      </c>
      <c r="H252" s="875">
        <v>0</v>
      </c>
      <c r="I252" s="845">
        <f t="shared" si="28"/>
        <v>83.333333333333329</v>
      </c>
      <c r="J252" s="846">
        <v>0</v>
      </c>
      <c r="K252" s="845">
        <f t="shared" si="29"/>
        <v>125</v>
      </c>
      <c r="L252" s="846">
        <v>0</v>
      </c>
      <c r="M252" s="846"/>
      <c r="N252" s="846"/>
      <c r="O252" s="846"/>
      <c r="P252" s="846"/>
      <c r="Q252" s="846"/>
      <c r="R252" s="846"/>
      <c r="S252" s="846"/>
      <c r="T252" s="846"/>
      <c r="U252" s="846"/>
      <c r="V252" s="846"/>
      <c r="W252" s="846"/>
      <c r="X252" s="846"/>
      <c r="Y252" s="538"/>
    </row>
    <row r="253" spans="1:26" s="533" customFormat="1" x14ac:dyDescent="0.3">
      <c r="A253" s="888" t="s">
        <v>490</v>
      </c>
      <c r="B253" s="888" t="s">
        <v>1317</v>
      </c>
      <c r="C253" s="889" t="s">
        <v>1031</v>
      </c>
      <c r="D253" s="861">
        <v>100000</v>
      </c>
      <c r="E253" s="862">
        <v>100000</v>
      </c>
      <c r="F253" s="863">
        <v>100000</v>
      </c>
      <c r="G253" s="890">
        <f>F253*1/12</f>
        <v>8333.3333333333339</v>
      </c>
      <c r="H253" s="866">
        <v>8200</v>
      </c>
      <c r="I253" s="864">
        <f t="shared" si="28"/>
        <v>16666.666666666668</v>
      </c>
      <c r="J253" s="866">
        <v>16400</v>
      </c>
      <c r="K253" s="865">
        <f>F253*3/12</f>
        <v>25000</v>
      </c>
      <c r="L253" s="866">
        <v>16400</v>
      </c>
      <c r="M253" s="866"/>
      <c r="N253" s="866"/>
      <c r="O253" s="866"/>
      <c r="P253" s="866"/>
      <c r="Q253" s="866"/>
      <c r="R253" s="866"/>
      <c r="S253" s="866"/>
      <c r="T253" s="866"/>
      <c r="U253" s="866"/>
      <c r="V253" s="866"/>
      <c r="W253" s="866"/>
      <c r="X253" s="866"/>
      <c r="Y253" s="532"/>
      <c r="Z253" s="419"/>
    </row>
    <row r="254" spans="1:26" x14ac:dyDescent="0.3">
      <c r="A254" s="897"/>
      <c r="B254" s="898"/>
      <c r="C254" s="899" t="s">
        <v>1177</v>
      </c>
      <c r="D254" s="900">
        <f t="shared" ref="D254:X254" si="35">SUM(D181:D253)</f>
        <v>491389.02</v>
      </c>
      <c r="E254" s="901">
        <f t="shared" si="35"/>
        <v>386290.48</v>
      </c>
      <c r="F254" s="902">
        <f t="shared" si="35"/>
        <v>491389.02</v>
      </c>
      <c r="G254" s="902">
        <f t="shared" si="35"/>
        <v>40949.084999999999</v>
      </c>
      <c r="H254" s="903">
        <f t="shared" si="35"/>
        <v>20456.23</v>
      </c>
      <c r="I254" s="903">
        <f t="shared" si="35"/>
        <v>81898.17</v>
      </c>
      <c r="J254" s="903">
        <f t="shared" si="35"/>
        <v>42645.67</v>
      </c>
      <c r="K254" s="903">
        <f t="shared" si="35"/>
        <v>122847.255</v>
      </c>
      <c r="L254" s="903">
        <f t="shared" si="35"/>
        <v>51379.64</v>
      </c>
      <c r="M254" s="903">
        <f t="shared" si="35"/>
        <v>0</v>
      </c>
      <c r="N254" s="903">
        <f t="shared" si="35"/>
        <v>0</v>
      </c>
      <c r="O254" s="903">
        <f t="shared" si="35"/>
        <v>0</v>
      </c>
      <c r="P254" s="903">
        <f t="shared" si="35"/>
        <v>0</v>
      </c>
      <c r="Q254" s="903">
        <f t="shared" si="35"/>
        <v>0</v>
      </c>
      <c r="R254" s="903">
        <f t="shared" si="35"/>
        <v>0</v>
      </c>
      <c r="S254" s="903">
        <f t="shared" si="35"/>
        <v>0</v>
      </c>
      <c r="T254" s="903">
        <f t="shared" si="35"/>
        <v>0</v>
      </c>
      <c r="U254" s="903">
        <f t="shared" si="35"/>
        <v>0</v>
      </c>
      <c r="V254" s="903">
        <f t="shared" si="35"/>
        <v>0</v>
      </c>
      <c r="W254" s="903">
        <f t="shared" si="35"/>
        <v>0</v>
      </c>
      <c r="X254" s="903">
        <f t="shared" si="35"/>
        <v>0</v>
      </c>
    </row>
    <row r="255" spans="1:26" x14ac:dyDescent="0.3">
      <c r="A255" s="873" t="s">
        <v>496</v>
      </c>
      <c r="B255" s="873" t="s">
        <v>496</v>
      </c>
      <c r="C255" s="874" t="s">
        <v>1178</v>
      </c>
      <c r="D255" s="869">
        <v>10000</v>
      </c>
      <c r="E255" s="878">
        <v>950</v>
      </c>
      <c r="F255" s="870">
        <v>10000</v>
      </c>
      <c r="G255" s="843">
        <f>F255*1/12</f>
        <v>833.33333333333337</v>
      </c>
      <c r="H255" s="875">
        <v>500</v>
      </c>
      <c r="I255" s="845">
        <f>F255*2/12</f>
        <v>1666.6666666666667</v>
      </c>
      <c r="J255" s="875">
        <v>500</v>
      </c>
      <c r="K255" s="845">
        <f>F255*3/12</f>
        <v>2500</v>
      </c>
      <c r="L255" s="875">
        <v>500</v>
      </c>
      <c r="M255" s="875"/>
      <c r="N255" s="875"/>
      <c r="O255" s="875"/>
      <c r="P255" s="875"/>
      <c r="Q255" s="875"/>
      <c r="R255" s="875"/>
      <c r="S255" s="875"/>
      <c r="T255" s="875"/>
      <c r="U255" s="875"/>
      <c r="V255" s="875"/>
      <c r="W255" s="875"/>
      <c r="X255" s="875"/>
    </row>
    <row r="256" spans="1:26" x14ac:dyDescent="0.3">
      <c r="A256" s="873" t="s">
        <v>501</v>
      </c>
      <c r="B256" s="873" t="s">
        <v>501</v>
      </c>
      <c r="C256" s="874" t="s">
        <v>1179</v>
      </c>
      <c r="D256" s="869">
        <v>1500</v>
      </c>
      <c r="E256" s="878">
        <v>0</v>
      </c>
      <c r="F256" s="870">
        <v>1500</v>
      </c>
      <c r="G256" s="843">
        <f>F256*1/12</f>
        <v>125</v>
      </c>
      <c r="H256" s="875">
        <v>0</v>
      </c>
      <c r="I256" s="845">
        <f>F256*2/12</f>
        <v>250</v>
      </c>
      <c r="J256" s="875">
        <v>0</v>
      </c>
      <c r="K256" s="845">
        <f>F256*3/12</f>
        <v>375</v>
      </c>
      <c r="L256" s="875">
        <v>0</v>
      </c>
      <c r="M256" s="875"/>
      <c r="N256" s="875"/>
      <c r="O256" s="875"/>
      <c r="P256" s="875"/>
      <c r="Q256" s="875"/>
      <c r="R256" s="875"/>
      <c r="S256" s="875"/>
      <c r="T256" s="875"/>
      <c r="U256" s="875"/>
      <c r="V256" s="875"/>
      <c r="W256" s="875"/>
      <c r="X256" s="875"/>
    </row>
    <row r="257" spans="1:26" x14ac:dyDescent="0.3">
      <c r="A257" s="897"/>
      <c r="B257" s="898"/>
      <c r="C257" s="899" t="s">
        <v>1180</v>
      </c>
      <c r="D257" s="900">
        <f t="shared" ref="D257:X257" si="36">SUM(D255:D256)</f>
        <v>11500</v>
      </c>
      <c r="E257" s="901">
        <f t="shared" si="36"/>
        <v>950</v>
      </c>
      <c r="F257" s="902">
        <f t="shared" si="36"/>
        <v>11500</v>
      </c>
      <c r="G257" s="902">
        <f t="shared" si="36"/>
        <v>958.33333333333337</v>
      </c>
      <c r="H257" s="903">
        <f t="shared" si="36"/>
        <v>500</v>
      </c>
      <c r="I257" s="903">
        <f t="shared" si="36"/>
        <v>1916.6666666666667</v>
      </c>
      <c r="J257" s="903">
        <f t="shared" si="36"/>
        <v>500</v>
      </c>
      <c r="K257" s="903">
        <f t="shared" si="36"/>
        <v>2875</v>
      </c>
      <c r="L257" s="903">
        <f t="shared" si="36"/>
        <v>500</v>
      </c>
      <c r="M257" s="903">
        <f t="shared" si="36"/>
        <v>0</v>
      </c>
      <c r="N257" s="903">
        <f t="shared" si="36"/>
        <v>0</v>
      </c>
      <c r="O257" s="903">
        <f t="shared" si="36"/>
        <v>0</v>
      </c>
      <c r="P257" s="903">
        <f t="shared" si="36"/>
        <v>0</v>
      </c>
      <c r="Q257" s="903">
        <f t="shared" si="36"/>
        <v>0</v>
      </c>
      <c r="R257" s="903">
        <f t="shared" si="36"/>
        <v>0</v>
      </c>
      <c r="S257" s="903">
        <f t="shared" si="36"/>
        <v>0</v>
      </c>
      <c r="T257" s="903">
        <f t="shared" si="36"/>
        <v>0</v>
      </c>
      <c r="U257" s="903">
        <f t="shared" si="36"/>
        <v>0</v>
      </c>
      <c r="V257" s="903">
        <f t="shared" si="36"/>
        <v>0</v>
      </c>
      <c r="W257" s="903">
        <f t="shared" si="36"/>
        <v>0</v>
      </c>
      <c r="X257" s="903">
        <f t="shared" si="36"/>
        <v>0</v>
      </c>
    </row>
    <row r="258" spans="1:26" x14ac:dyDescent="0.3">
      <c r="A258" s="873" t="s">
        <v>508</v>
      </c>
      <c r="B258" s="873" t="s">
        <v>508</v>
      </c>
      <c r="C258" s="874" t="s">
        <v>1181</v>
      </c>
      <c r="D258" s="869">
        <v>0</v>
      </c>
      <c r="E258" s="878">
        <v>0</v>
      </c>
      <c r="F258" s="870">
        <v>0</v>
      </c>
      <c r="G258" s="843">
        <f>F258*1/12</f>
        <v>0</v>
      </c>
      <c r="H258" s="875">
        <v>0</v>
      </c>
      <c r="I258" s="845">
        <f>F258*2/12</f>
        <v>0</v>
      </c>
      <c r="J258" s="875">
        <v>0</v>
      </c>
      <c r="K258" s="845">
        <f>F258*3/12</f>
        <v>0</v>
      </c>
      <c r="L258" s="875">
        <v>0</v>
      </c>
      <c r="M258" s="875"/>
      <c r="N258" s="875"/>
      <c r="O258" s="875"/>
      <c r="P258" s="875"/>
      <c r="Q258" s="875"/>
      <c r="R258" s="875"/>
      <c r="S258" s="875"/>
      <c r="T258" s="875"/>
      <c r="U258" s="875"/>
      <c r="V258" s="875"/>
      <c r="W258" s="875"/>
      <c r="X258" s="875"/>
    </row>
    <row r="259" spans="1:26" x14ac:dyDescent="0.3">
      <c r="A259" s="873" t="s">
        <v>510</v>
      </c>
      <c r="B259" s="873" t="s">
        <v>510</v>
      </c>
      <c r="C259" s="874" t="s">
        <v>1182</v>
      </c>
      <c r="D259" s="869">
        <v>60000</v>
      </c>
      <c r="E259" s="878">
        <v>60000</v>
      </c>
      <c r="F259" s="870">
        <v>60000</v>
      </c>
      <c r="G259" s="843">
        <v>0</v>
      </c>
      <c r="H259" s="875">
        <v>0</v>
      </c>
      <c r="I259" s="845">
        <v>0</v>
      </c>
      <c r="J259" s="875">
        <v>0</v>
      </c>
      <c r="K259" s="845">
        <v>0</v>
      </c>
      <c r="L259" s="875">
        <v>0</v>
      </c>
      <c r="M259" s="875"/>
      <c r="N259" s="875"/>
      <c r="O259" s="875"/>
      <c r="P259" s="875"/>
      <c r="Q259" s="875"/>
      <c r="R259" s="875"/>
      <c r="S259" s="875"/>
      <c r="T259" s="875"/>
      <c r="U259" s="875"/>
      <c r="V259" s="875"/>
      <c r="W259" s="875"/>
      <c r="X259" s="875"/>
    </row>
    <row r="260" spans="1:26" x14ac:dyDescent="0.3">
      <c r="A260" s="894" t="s">
        <v>512</v>
      </c>
      <c r="B260" s="873" t="s">
        <v>1319</v>
      </c>
      <c r="C260" s="907" t="s">
        <v>1183</v>
      </c>
      <c r="D260" s="869">
        <v>0</v>
      </c>
      <c r="E260" s="895">
        <v>0</v>
      </c>
      <c r="F260" s="870">
        <v>0</v>
      </c>
      <c r="G260" s="843">
        <f>F260*1/12</f>
        <v>0</v>
      </c>
      <c r="H260" s="896">
        <v>0</v>
      </c>
      <c r="I260" s="845">
        <f>SUM(G260-H260+F260/12)</f>
        <v>0</v>
      </c>
      <c r="J260" s="896">
        <v>0</v>
      </c>
      <c r="K260" s="845">
        <f>F260*3/12</f>
        <v>0</v>
      </c>
      <c r="L260" s="896">
        <v>0</v>
      </c>
      <c r="M260" s="896"/>
      <c r="N260" s="896"/>
      <c r="O260" s="896"/>
      <c r="P260" s="896"/>
      <c r="Q260" s="896"/>
      <c r="R260" s="896"/>
      <c r="S260" s="896"/>
      <c r="T260" s="896"/>
      <c r="U260" s="896"/>
      <c r="V260" s="896"/>
      <c r="W260" s="896"/>
      <c r="X260" s="896"/>
    </row>
    <row r="261" spans="1:26" x14ac:dyDescent="0.3">
      <c r="A261" s="897"/>
      <c r="B261" s="898"/>
      <c r="C261" s="899" t="s">
        <v>1184</v>
      </c>
      <c r="D261" s="900">
        <f>SUM(D258:D260)</f>
        <v>60000</v>
      </c>
      <c r="E261" s="908">
        <f>SUM(E258:E259)</f>
        <v>60000</v>
      </c>
      <c r="F261" s="902">
        <f t="shared" ref="F261:P261" si="37">SUM(F258:F260)</f>
        <v>60000</v>
      </c>
      <c r="G261" s="902">
        <f t="shared" si="37"/>
        <v>0</v>
      </c>
      <c r="H261" s="903">
        <f t="shared" si="37"/>
        <v>0</v>
      </c>
      <c r="I261" s="902">
        <f t="shared" si="37"/>
        <v>0</v>
      </c>
      <c r="J261" s="909">
        <f t="shared" si="37"/>
        <v>0</v>
      </c>
      <c r="K261" s="903">
        <f t="shared" si="37"/>
        <v>0</v>
      </c>
      <c r="L261" s="909">
        <f t="shared" si="37"/>
        <v>0</v>
      </c>
      <c r="M261" s="909">
        <f t="shared" si="37"/>
        <v>0</v>
      </c>
      <c r="N261" s="909">
        <f t="shared" si="37"/>
        <v>0</v>
      </c>
      <c r="O261" s="909">
        <f t="shared" si="37"/>
        <v>0</v>
      </c>
      <c r="P261" s="909">
        <f t="shared" si="37"/>
        <v>0</v>
      </c>
      <c r="Q261" s="909">
        <f>SUM(Q258:Q259)</f>
        <v>0</v>
      </c>
      <c r="R261" s="909">
        <f>SUM(R258:R259)</f>
        <v>0</v>
      </c>
      <c r="S261" s="909">
        <f>SUM(S258:S259)</f>
        <v>0</v>
      </c>
      <c r="T261" s="909">
        <f>SUM(T258:T260)</f>
        <v>0</v>
      </c>
      <c r="U261" s="909">
        <f>SUM(U258:U260)</f>
        <v>0</v>
      </c>
      <c r="V261" s="909">
        <f>SUM(V258:V260)</f>
        <v>0</v>
      </c>
      <c r="W261" s="909">
        <f>SUM(W258:W259)</f>
        <v>0</v>
      </c>
      <c r="X261" s="909">
        <f>SUM(X258:X259)</f>
        <v>0</v>
      </c>
    </row>
    <row r="262" spans="1:26" x14ac:dyDescent="0.3">
      <c r="A262" s="910"/>
      <c r="B262" s="910"/>
      <c r="C262" s="911"/>
      <c r="D262" s="912"/>
      <c r="E262" s="913"/>
      <c r="F262" s="914"/>
      <c r="G262" s="914"/>
      <c r="H262" s="915"/>
      <c r="I262" s="916"/>
      <c r="J262" s="915"/>
      <c r="K262" s="915"/>
      <c r="L262" s="915"/>
      <c r="M262" s="915"/>
      <c r="N262" s="915"/>
      <c r="O262" s="915"/>
      <c r="P262" s="915"/>
      <c r="Q262" s="915"/>
      <c r="R262" s="915"/>
      <c r="S262" s="915"/>
      <c r="T262" s="915"/>
      <c r="U262" s="915"/>
      <c r="V262" s="915"/>
      <c r="W262" s="915"/>
      <c r="X262" s="915"/>
    </row>
    <row r="263" spans="1:26" x14ac:dyDescent="0.3">
      <c r="A263" s="897"/>
      <c r="B263" s="898"/>
      <c r="C263" s="899" t="s">
        <v>1185</v>
      </c>
      <c r="D263" s="917">
        <f t="shared" ref="D263:X263" si="38">D55+D180+D254+D257+D261</f>
        <v>1479844.02</v>
      </c>
      <c r="E263" s="918">
        <f t="shared" si="38"/>
        <v>1215421.75</v>
      </c>
      <c r="F263" s="902">
        <f t="shared" si="38"/>
        <v>1479844.02</v>
      </c>
      <c r="G263" s="902">
        <f t="shared" si="38"/>
        <v>118320.33499999998</v>
      </c>
      <c r="H263" s="903">
        <f t="shared" si="38"/>
        <v>51319.03</v>
      </c>
      <c r="I263" s="903">
        <f t="shared" si="38"/>
        <v>236640.66999999995</v>
      </c>
      <c r="J263" s="903">
        <f t="shared" si="38"/>
        <v>115481.03</v>
      </c>
      <c r="K263" s="903">
        <f t="shared" si="38"/>
        <v>354586.005</v>
      </c>
      <c r="L263" s="903">
        <f t="shared" si="38"/>
        <v>147043.78</v>
      </c>
      <c r="M263" s="903">
        <f t="shared" si="38"/>
        <v>0</v>
      </c>
      <c r="N263" s="903">
        <f t="shared" si="38"/>
        <v>0</v>
      </c>
      <c r="O263" s="903">
        <f t="shared" si="38"/>
        <v>0</v>
      </c>
      <c r="P263" s="903">
        <f t="shared" si="38"/>
        <v>0</v>
      </c>
      <c r="Q263" s="919">
        <f t="shared" si="38"/>
        <v>0</v>
      </c>
      <c r="R263" s="920">
        <f t="shared" si="38"/>
        <v>0</v>
      </c>
      <c r="S263" s="920">
        <f t="shared" si="38"/>
        <v>0</v>
      </c>
      <c r="T263" s="920">
        <f t="shared" si="38"/>
        <v>0</v>
      </c>
      <c r="U263" s="920">
        <f t="shared" si="38"/>
        <v>0</v>
      </c>
      <c r="V263" s="920">
        <f t="shared" si="38"/>
        <v>0</v>
      </c>
      <c r="W263" s="920">
        <f t="shared" si="38"/>
        <v>0</v>
      </c>
      <c r="X263" s="920">
        <f t="shared" si="38"/>
        <v>0</v>
      </c>
    </row>
    <row r="264" spans="1:26" x14ac:dyDescent="0.3">
      <c r="A264" s="921"/>
      <c r="B264" s="922"/>
      <c r="C264" s="923" t="s">
        <v>829</v>
      </c>
      <c r="D264" s="924">
        <f t="shared" ref="D264:X264" si="39">D30</f>
        <v>1480000</v>
      </c>
      <c r="E264" s="925">
        <f t="shared" si="39"/>
        <v>1500919.53</v>
      </c>
      <c r="F264" s="926">
        <f t="shared" si="39"/>
        <v>1480000</v>
      </c>
      <c r="G264" s="926">
        <f t="shared" si="39"/>
        <v>107083.33333333333</v>
      </c>
      <c r="H264" s="927">
        <f t="shared" si="39"/>
        <v>542448.23</v>
      </c>
      <c r="I264" s="927">
        <f t="shared" si="39"/>
        <v>214166.66666666666</v>
      </c>
      <c r="J264" s="928">
        <f t="shared" si="39"/>
        <v>744264.9</v>
      </c>
      <c r="K264" s="928">
        <f t="shared" si="39"/>
        <v>370000</v>
      </c>
      <c r="L264" s="928">
        <f t="shared" si="39"/>
        <v>777607.6100000001</v>
      </c>
      <c r="M264" s="927">
        <f t="shared" si="39"/>
        <v>0</v>
      </c>
      <c r="N264" s="927">
        <f t="shared" si="39"/>
        <v>0</v>
      </c>
      <c r="O264" s="928">
        <f t="shared" si="39"/>
        <v>0</v>
      </c>
      <c r="P264" s="928">
        <f t="shared" si="39"/>
        <v>0</v>
      </c>
      <c r="Q264" s="928">
        <f t="shared" si="39"/>
        <v>0</v>
      </c>
      <c r="R264" s="929">
        <f t="shared" si="39"/>
        <v>0</v>
      </c>
      <c r="S264" s="929">
        <f t="shared" si="39"/>
        <v>0</v>
      </c>
      <c r="T264" s="929">
        <f t="shared" si="39"/>
        <v>0</v>
      </c>
      <c r="U264" s="929">
        <f t="shared" si="39"/>
        <v>0</v>
      </c>
      <c r="V264" s="929">
        <f t="shared" si="39"/>
        <v>0</v>
      </c>
      <c r="W264" s="929">
        <f t="shared" si="39"/>
        <v>0</v>
      </c>
      <c r="X264" s="929">
        <f t="shared" si="39"/>
        <v>0</v>
      </c>
    </row>
    <row r="265" spans="1:26" x14ac:dyDescent="0.3">
      <c r="A265" s="910"/>
      <c r="B265" s="910"/>
      <c r="C265" s="911"/>
      <c r="D265" s="912"/>
      <c r="E265" s="913"/>
      <c r="F265" s="914"/>
      <c r="G265" s="914"/>
      <c r="H265" s="915"/>
      <c r="I265" s="916"/>
      <c r="J265" s="915"/>
      <c r="K265" s="915"/>
      <c r="L265" s="915"/>
      <c r="M265" s="915"/>
      <c r="N265" s="915"/>
      <c r="O265" s="915"/>
      <c r="P265" s="915"/>
      <c r="Q265" s="915"/>
      <c r="R265" s="915"/>
      <c r="S265" s="915"/>
      <c r="T265" s="915"/>
      <c r="U265" s="915"/>
      <c r="V265" s="915"/>
      <c r="W265" s="915"/>
      <c r="X265" s="915"/>
    </row>
    <row r="266" spans="1:26" s="563" customFormat="1" x14ac:dyDescent="0.3">
      <c r="A266" s="930"/>
      <c r="B266" s="931"/>
      <c r="C266" s="932" t="s">
        <v>1186</v>
      </c>
      <c r="D266" s="933">
        <f t="shared" ref="D266:X266" si="40">D264-D263</f>
        <v>155.97999999998137</v>
      </c>
      <c r="E266" s="934">
        <f t="shared" si="40"/>
        <v>285497.78000000003</v>
      </c>
      <c r="F266" s="935">
        <f t="shared" si="40"/>
        <v>155.97999999998137</v>
      </c>
      <c r="G266" s="935">
        <f t="shared" si="40"/>
        <v>-11237.001666666649</v>
      </c>
      <c r="H266" s="936">
        <f t="shared" si="40"/>
        <v>491129.19999999995</v>
      </c>
      <c r="I266" s="936">
        <f t="shared" si="40"/>
        <v>-22474.003333333298</v>
      </c>
      <c r="J266" s="937">
        <f t="shared" si="40"/>
        <v>628783.87</v>
      </c>
      <c r="K266" s="937">
        <f t="shared" si="40"/>
        <v>15413.994999999995</v>
      </c>
      <c r="L266" s="937">
        <f t="shared" si="40"/>
        <v>630563.83000000007</v>
      </c>
      <c r="M266" s="937">
        <f t="shared" si="40"/>
        <v>0</v>
      </c>
      <c r="N266" s="937">
        <f t="shared" si="40"/>
        <v>0</v>
      </c>
      <c r="O266" s="937">
        <f t="shared" si="40"/>
        <v>0</v>
      </c>
      <c r="P266" s="937">
        <f t="shared" si="40"/>
        <v>0</v>
      </c>
      <c r="Q266" s="937">
        <f t="shared" si="40"/>
        <v>0</v>
      </c>
      <c r="R266" s="937">
        <f t="shared" si="40"/>
        <v>0</v>
      </c>
      <c r="S266" s="937">
        <f t="shared" si="40"/>
        <v>0</v>
      </c>
      <c r="T266" s="937">
        <f t="shared" si="40"/>
        <v>0</v>
      </c>
      <c r="U266" s="937">
        <f t="shared" si="40"/>
        <v>0</v>
      </c>
      <c r="V266" s="937">
        <f t="shared" si="40"/>
        <v>0</v>
      </c>
      <c r="W266" s="937">
        <f t="shared" si="40"/>
        <v>0</v>
      </c>
      <c r="X266" s="937">
        <f t="shared" si="40"/>
        <v>0</v>
      </c>
      <c r="Y266" s="395"/>
      <c r="Z266" s="419"/>
    </row>
    <row r="267" spans="1:26" x14ac:dyDescent="0.3">
      <c r="D267" s="565"/>
      <c r="E267" s="567"/>
      <c r="F267" s="565"/>
      <c r="G267" s="565"/>
      <c r="H267" s="567"/>
      <c r="I267" s="567"/>
      <c r="J267" s="567"/>
      <c r="K267" s="567"/>
      <c r="L267" s="567"/>
      <c r="M267" s="567"/>
      <c r="N267" s="567"/>
      <c r="O267" s="567"/>
      <c r="P267" s="567"/>
      <c r="Q267" s="567"/>
      <c r="R267" s="567"/>
      <c r="S267" s="567"/>
      <c r="T267" s="567"/>
      <c r="U267" s="567"/>
      <c r="V267" s="567"/>
      <c r="W267" s="567"/>
      <c r="X267" s="567"/>
    </row>
    <row r="268" spans="1:26" x14ac:dyDescent="0.3">
      <c r="D268" s="570" t="s">
        <v>1188</v>
      </c>
      <c r="E268" s="938" t="s">
        <v>1320</v>
      </c>
      <c r="F268" s="570" t="s">
        <v>1188</v>
      </c>
      <c r="G268" s="570"/>
    </row>
    <row r="269" spans="1:26" x14ac:dyDescent="0.3">
      <c r="C269" s="572" t="s">
        <v>514</v>
      </c>
      <c r="D269" s="565"/>
      <c r="E269" s="567"/>
      <c r="F269" s="565"/>
      <c r="G269" s="565"/>
      <c r="H269" s="567"/>
      <c r="I269" s="567"/>
      <c r="J269" s="567"/>
      <c r="K269" s="567"/>
      <c r="L269" s="567"/>
      <c r="M269" s="567"/>
      <c r="N269" s="567"/>
      <c r="O269" s="567"/>
      <c r="P269" s="567"/>
      <c r="Q269" s="567"/>
      <c r="R269" s="567"/>
      <c r="S269" s="567"/>
      <c r="T269" s="567"/>
      <c r="U269" s="567"/>
      <c r="V269" s="567"/>
      <c r="W269" s="567"/>
      <c r="X269" s="567"/>
    </row>
    <row r="270" spans="1:26" x14ac:dyDescent="0.3">
      <c r="C270" s="573" t="s">
        <v>516</v>
      </c>
      <c r="D270" s="575">
        <f>D281</f>
        <v>180155.97999999998</v>
      </c>
      <c r="E270" s="579">
        <v>465497.78</v>
      </c>
      <c r="F270" s="575">
        <f>F281</f>
        <v>180155.97999999998</v>
      </c>
      <c r="G270" s="575"/>
      <c r="H270" s="577">
        <v>671129.2</v>
      </c>
      <c r="I270" s="577"/>
      <c r="J270" s="577">
        <v>808783.87</v>
      </c>
      <c r="K270" s="577"/>
      <c r="L270" s="577">
        <v>810563.83</v>
      </c>
      <c r="M270" s="578"/>
      <c r="N270" s="578"/>
      <c r="O270" s="578"/>
      <c r="P270" s="578"/>
      <c r="Q270" s="579"/>
      <c r="R270" s="579"/>
      <c r="S270" s="579"/>
      <c r="T270" s="579"/>
      <c r="U270" s="579"/>
      <c r="V270" s="579"/>
      <c r="W270" s="579"/>
      <c r="X270" s="579"/>
    </row>
    <row r="271" spans="1:26" x14ac:dyDescent="0.3">
      <c r="C271" s="573" t="s">
        <v>517</v>
      </c>
      <c r="D271" s="575">
        <v>0</v>
      </c>
      <c r="E271" s="579">
        <v>0</v>
      </c>
      <c r="F271" s="575">
        <v>0</v>
      </c>
      <c r="G271" s="575"/>
      <c r="H271" s="578">
        <v>0</v>
      </c>
      <c r="I271" s="578"/>
      <c r="J271" s="578">
        <v>0</v>
      </c>
      <c r="K271" s="578"/>
      <c r="L271" s="578">
        <v>0</v>
      </c>
      <c r="M271" s="578">
        <v>0</v>
      </c>
      <c r="N271" s="578">
        <v>0</v>
      </c>
      <c r="O271" s="578">
        <v>0</v>
      </c>
      <c r="P271" s="578">
        <v>0</v>
      </c>
      <c r="Q271" s="579">
        <v>0</v>
      </c>
      <c r="R271" s="579">
        <v>0</v>
      </c>
      <c r="S271" s="579">
        <v>0</v>
      </c>
      <c r="T271" s="579">
        <v>0</v>
      </c>
      <c r="U271" s="579">
        <v>0</v>
      </c>
      <c r="V271" s="579">
        <v>0</v>
      </c>
      <c r="W271" s="579">
        <v>0</v>
      </c>
      <c r="X271" s="579"/>
    </row>
    <row r="272" spans="1:26" x14ac:dyDescent="0.3">
      <c r="C272" s="573" t="s">
        <v>518</v>
      </c>
      <c r="D272" s="575">
        <v>0</v>
      </c>
      <c r="E272" s="579">
        <v>0</v>
      </c>
      <c r="F272" s="575">
        <v>0</v>
      </c>
      <c r="G272" s="575"/>
      <c r="H272" s="578">
        <v>0</v>
      </c>
      <c r="I272" s="578"/>
      <c r="J272" s="578">
        <v>0</v>
      </c>
      <c r="K272" s="578"/>
      <c r="L272" s="578">
        <v>0</v>
      </c>
      <c r="M272" s="578">
        <v>0</v>
      </c>
      <c r="N272" s="578">
        <v>0</v>
      </c>
      <c r="O272" s="578">
        <v>0</v>
      </c>
      <c r="P272" s="578">
        <v>0</v>
      </c>
      <c r="Q272" s="579">
        <v>0</v>
      </c>
      <c r="R272" s="579">
        <v>0</v>
      </c>
      <c r="S272" s="579">
        <v>0</v>
      </c>
      <c r="T272" s="579">
        <v>0</v>
      </c>
      <c r="U272" s="579">
        <v>0</v>
      </c>
      <c r="V272" s="579">
        <v>0</v>
      </c>
      <c r="W272" s="579">
        <v>0</v>
      </c>
      <c r="X272" s="579"/>
    </row>
    <row r="273" spans="3:26" x14ac:dyDescent="0.3">
      <c r="C273" s="580"/>
      <c r="D273" s="575"/>
      <c r="E273" s="579">
        <v>0</v>
      </c>
      <c r="F273" s="575"/>
      <c r="G273" s="575"/>
      <c r="H273" s="578"/>
      <c r="I273" s="578"/>
      <c r="J273" s="578"/>
      <c r="K273" s="578"/>
      <c r="L273" s="578"/>
      <c r="M273" s="578"/>
      <c r="N273" s="578"/>
      <c r="O273" s="578"/>
      <c r="P273" s="578"/>
      <c r="Q273" s="581"/>
      <c r="R273" s="579"/>
      <c r="S273" s="579"/>
      <c r="T273" s="579"/>
      <c r="U273" s="579"/>
      <c r="V273" s="579"/>
      <c r="W273" s="579">
        <v>0</v>
      </c>
      <c r="X273" s="579">
        <v>0</v>
      </c>
    </row>
    <row r="274" spans="3:26" x14ac:dyDescent="0.3">
      <c r="C274" s="572" t="s">
        <v>519</v>
      </c>
      <c r="D274" s="583">
        <f>SUM(D270:D273)</f>
        <v>180155.97999999998</v>
      </c>
      <c r="E274" s="586">
        <f>SUM(E270:E273)</f>
        <v>465497.78</v>
      </c>
      <c r="F274" s="583">
        <f>SUM(F270:F273)</f>
        <v>180155.97999999998</v>
      </c>
      <c r="G274" s="583"/>
      <c r="H274" s="585">
        <f>SUM(H270:H272)</f>
        <v>671129.2</v>
      </c>
      <c r="I274" s="585"/>
      <c r="J274" s="585">
        <f t="shared" ref="J274:P274" si="41">SUM(J270:J272)</f>
        <v>808783.87</v>
      </c>
      <c r="K274" s="585"/>
      <c r="L274" s="585">
        <f t="shared" si="41"/>
        <v>810563.83</v>
      </c>
      <c r="M274" s="585">
        <f t="shared" si="41"/>
        <v>0</v>
      </c>
      <c r="N274" s="586">
        <f t="shared" si="41"/>
        <v>0</v>
      </c>
      <c r="O274" s="586">
        <f t="shared" si="41"/>
        <v>0</v>
      </c>
      <c r="P274" s="586">
        <f t="shared" si="41"/>
        <v>0</v>
      </c>
      <c r="Q274" s="586">
        <f t="shared" ref="Q274:X274" si="42">SUM(Q270:Q273)</f>
        <v>0</v>
      </c>
      <c r="R274" s="586">
        <f t="shared" si="42"/>
        <v>0</v>
      </c>
      <c r="S274" s="586">
        <f t="shared" si="42"/>
        <v>0</v>
      </c>
      <c r="T274" s="586">
        <f t="shared" si="42"/>
        <v>0</v>
      </c>
      <c r="U274" s="586">
        <f t="shared" si="42"/>
        <v>0</v>
      </c>
      <c r="V274" s="586">
        <f t="shared" si="42"/>
        <v>0</v>
      </c>
      <c r="W274" s="586">
        <f t="shared" si="42"/>
        <v>0</v>
      </c>
      <c r="X274" s="586">
        <f t="shared" si="42"/>
        <v>0</v>
      </c>
    </row>
    <row r="275" spans="3:26" x14ac:dyDescent="0.3">
      <c r="D275" s="581"/>
      <c r="E275" s="579"/>
      <c r="F275" s="581"/>
      <c r="G275" s="581"/>
      <c r="H275" s="578"/>
      <c r="I275" s="578"/>
      <c r="J275" s="578"/>
      <c r="K275" s="578"/>
      <c r="L275" s="578"/>
      <c r="M275" s="578"/>
      <c r="N275" s="578"/>
      <c r="O275" s="578"/>
      <c r="P275" s="578"/>
      <c r="Q275" s="579"/>
      <c r="R275" s="579"/>
      <c r="S275" s="579"/>
      <c r="T275" s="579"/>
      <c r="U275" s="579"/>
      <c r="V275" s="579"/>
      <c r="W275" s="579"/>
      <c r="X275" s="579"/>
    </row>
    <row r="276" spans="3:26" x14ac:dyDescent="0.3">
      <c r="C276" s="572" t="s">
        <v>520</v>
      </c>
      <c r="D276" s="581"/>
      <c r="E276" s="579"/>
      <c r="F276" s="581"/>
      <c r="G276" s="581"/>
      <c r="H276" s="588"/>
      <c r="I276" s="588"/>
      <c r="J276" s="588"/>
      <c r="K276" s="588"/>
      <c r="L276" s="588"/>
      <c r="M276" s="588"/>
      <c r="N276" s="588"/>
      <c r="O276" s="588"/>
      <c r="P276" s="588"/>
      <c r="Q276" s="579"/>
      <c r="R276" s="579"/>
      <c r="S276" s="579"/>
      <c r="T276" s="579"/>
      <c r="U276" s="579"/>
      <c r="V276" s="579"/>
      <c r="W276" s="579"/>
      <c r="X276" s="579"/>
    </row>
    <row r="277" spans="3:26" x14ac:dyDescent="0.3">
      <c r="C277" s="573" t="s">
        <v>521</v>
      </c>
      <c r="D277" s="583">
        <f>D$266</f>
        <v>155.97999999998137</v>
      </c>
      <c r="E277" s="586">
        <f>E266</f>
        <v>285497.78000000003</v>
      </c>
      <c r="F277" s="583">
        <f>F$266</f>
        <v>155.97999999998137</v>
      </c>
      <c r="G277" s="583"/>
      <c r="H277" s="583">
        <f>H266</f>
        <v>491129.19999999995</v>
      </c>
      <c r="I277" s="583"/>
      <c r="J277" s="586">
        <f>J266</f>
        <v>628783.87</v>
      </c>
      <c r="K277" s="586"/>
      <c r="L277" s="586">
        <f t="shared" ref="L277:X277" si="43">L266</f>
        <v>630563.83000000007</v>
      </c>
      <c r="M277" s="586">
        <f t="shared" si="43"/>
        <v>0</v>
      </c>
      <c r="N277" s="586">
        <f t="shared" si="43"/>
        <v>0</v>
      </c>
      <c r="O277" s="586">
        <f t="shared" si="43"/>
        <v>0</v>
      </c>
      <c r="P277" s="586">
        <f t="shared" si="43"/>
        <v>0</v>
      </c>
      <c r="Q277" s="586">
        <f t="shared" si="43"/>
        <v>0</v>
      </c>
      <c r="R277" s="586">
        <f t="shared" si="43"/>
        <v>0</v>
      </c>
      <c r="S277" s="586">
        <f t="shared" si="43"/>
        <v>0</v>
      </c>
      <c r="T277" s="586">
        <f t="shared" si="43"/>
        <v>0</v>
      </c>
      <c r="U277" s="586">
        <f t="shared" si="43"/>
        <v>0</v>
      </c>
      <c r="V277" s="586">
        <f t="shared" si="43"/>
        <v>0</v>
      </c>
      <c r="W277" s="586">
        <f t="shared" si="43"/>
        <v>0</v>
      </c>
      <c r="X277" s="586">
        <f t="shared" si="43"/>
        <v>0</v>
      </c>
    </row>
    <row r="278" spans="3:26" x14ac:dyDescent="0.3">
      <c r="C278" s="573" t="s">
        <v>504</v>
      </c>
      <c r="D278" s="583">
        <v>115000</v>
      </c>
      <c r="E278" s="578">
        <v>115000</v>
      </c>
      <c r="F278" s="583">
        <v>115000</v>
      </c>
      <c r="G278" s="583"/>
      <c r="H278" s="590">
        <v>115000</v>
      </c>
      <c r="I278" s="590"/>
      <c r="J278" s="578">
        <v>115000</v>
      </c>
      <c r="K278" s="578"/>
      <c r="L278" s="578">
        <v>115000</v>
      </c>
      <c r="M278" s="578">
        <v>115000</v>
      </c>
      <c r="N278" s="578">
        <v>115000</v>
      </c>
      <c r="O278" s="578">
        <v>115000</v>
      </c>
      <c r="P278" s="578">
        <v>115000</v>
      </c>
      <c r="Q278" s="578">
        <v>115000</v>
      </c>
      <c r="R278" s="578">
        <v>115000</v>
      </c>
      <c r="S278" s="578">
        <v>115000</v>
      </c>
      <c r="T278" s="578">
        <v>115000</v>
      </c>
      <c r="U278" s="578">
        <v>115000</v>
      </c>
      <c r="V278" s="578">
        <v>115000</v>
      </c>
      <c r="W278" s="578">
        <v>115000</v>
      </c>
      <c r="X278" s="578"/>
    </row>
    <row r="279" spans="3:26" x14ac:dyDescent="0.3">
      <c r="C279" s="573" t="s">
        <v>1189</v>
      </c>
      <c r="D279" s="583">
        <v>5000</v>
      </c>
      <c r="E279" s="578">
        <v>5000</v>
      </c>
      <c r="F279" s="583">
        <v>5000</v>
      </c>
      <c r="G279" s="583"/>
      <c r="H279" s="590">
        <v>5000</v>
      </c>
      <c r="I279" s="590"/>
      <c r="J279" s="578">
        <v>5000</v>
      </c>
      <c r="K279" s="578"/>
      <c r="L279" s="578">
        <v>5000</v>
      </c>
      <c r="M279" s="578">
        <v>5000</v>
      </c>
      <c r="N279" s="578">
        <v>5000</v>
      </c>
      <c r="O279" s="578">
        <v>5000</v>
      </c>
      <c r="P279" s="578">
        <v>5000</v>
      </c>
      <c r="Q279" s="578">
        <v>5000</v>
      </c>
      <c r="R279" s="578">
        <v>5000</v>
      </c>
      <c r="S279" s="578">
        <v>5000</v>
      </c>
      <c r="T279" s="578">
        <v>5000</v>
      </c>
      <c r="U279" s="578">
        <v>5000</v>
      </c>
      <c r="V279" s="578">
        <v>5000</v>
      </c>
      <c r="W279" s="578">
        <v>5000</v>
      </c>
      <c r="X279" s="578"/>
    </row>
    <row r="280" spans="3:26" x14ac:dyDescent="0.3">
      <c r="C280" s="573" t="s">
        <v>523</v>
      </c>
      <c r="D280" s="583">
        <v>60000</v>
      </c>
      <c r="E280" s="578">
        <v>60000</v>
      </c>
      <c r="F280" s="583">
        <v>60000</v>
      </c>
      <c r="G280" s="583"/>
      <c r="H280" s="590">
        <v>60000</v>
      </c>
      <c r="I280" s="590"/>
      <c r="J280" s="578">
        <v>60000</v>
      </c>
      <c r="K280" s="578"/>
      <c r="L280" s="578">
        <v>60000</v>
      </c>
      <c r="M280" s="578">
        <v>60000</v>
      </c>
      <c r="N280" s="578">
        <v>60000</v>
      </c>
      <c r="O280" s="578">
        <v>60000</v>
      </c>
      <c r="P280" s="578">
        <v>60000</v>
      </c>
      <c r="Q280" s="578">
        <v>60000</v>
      </c>
      <c r="R280" s="578">
        <v>60000</v>
      </c>
      <c r="S280" s="578">
        <v>60000</v>
      </c>
      <c r="T280" s="578">
        <v>60000</v>
      </c>
      <c r="U280" s="578">
        <v>60000</v>
      </c>
      <c r="V280" s="578">
        <v>60000</v>
      </c>
      <c r="W280" s="578">
        <v>60000</v>
      </c>
      <c r="X280" s="578"/>
    </row>
    <row r="281" spans="3:26" x14ac:dyDescent="0.3">
      <c r="C281" s="572" t="s">
        <v>524</v>
      </c>
      <c r="D281" s="583">
        <f>SUM(D$277:D$280)</f>
        <v>180155.97999999998</v>
      </c>
      <c r="E281" s="586">
        <f>SUM(E277:E280)</f>
        <v>465497.78</v>
      </c>
      <c r="F281" s="583">
        <f>SUM(F$277:F$280)</f>
        <v>180155.97999999998</v>
      </c>
      <c r="G281" s="583"/>
      <c r="H281" s="583">
        <f>SUM(H$277:H$280)</f>
        <v>671129.2</v>
      </c>
      <c r="I281" s="583"/>
      <c r="J281" s="586">
        <f t="shared" ref="J281:X281" si="44">SUM(J277:J280)</f>
        <v>808783.87</v>
      </c>
      <c r="K281" s="586"/>
      <c r="L281" s="586">
        <f t="shared" si="44"/>
        <v>810563.83000000007</v>
      </c>
      <c r="M281" s="586">
        <f t="shared" si="44"/>
        <v>180000</v>
      </c>
      <c r="N281" s="586">
        <f t="shared" si="44"/>
        <v>180000</v>
      </c>
      <c r="O281" s="586">
        <f t="shared" si="44"/>
        <v>180000</v>
      </c>
      <c r="P281" s="586">
        <f t="shared" si="44"/>
        <v>180000</v>
      </c>
      <c r="Q281" s="586">
        <f t="shared" si="44"/>
        <v>180000</v>
      </c>
      <c r="R281" s="586">
        <f t="shared" si="44"/>
        <v>180000</v>
      </c>
      <c r="S281" s="586">
        <f t="shared" si="44"/>
        <v>180000</v>
      </c>
      <c r="T281" s="586">
        <f t="shared" si="44"/>
        <v>180000</v>
      </c>
      <c r="U281" s="586">
        <f t="shared" si="44"/>
        <v>180000</v>
      </c>
      <c r="V281" s="586">
        <f t="shared" si="44"/>
        <v>180000</v>
      </c>
      <c r="W281" s="586">
        <f t="shared" si="44"/>
        <v>180000</v>
      </c>
      <c r="X281" s="586">
        <f t="shared" si="44"/>
        <v>0</v>
      </c>
    </row>
    <row r="282" spans="3:26" x14ac:dyDescent="0.3">
      <c r="D282" s="583"/>
      <c r="E282" s="592"/>
      <c r="F282" s="583"/>
      <c r="G282" s="583"/>
      <c r="H282" s="567"/>
      <c r="I282" s="567"/>
      <c r="J282" s="567"/>
      <c r="K282" s="567"/>
      <c r="L282" s="567"/>
      <c r="M282" s="567"/>
      <c r="N282" s="567"/>
      <c r="O282" s="567"/>
      <c r="P282" s="567"/>
      <c r="Q282" s="592"/>
      <c r="R282" s="592"/>
      <c r="S282" s="592"/>
      <c r="T282" s="592"/>
      <c r="U282" s="592"/>
      <c r="V282" s="592"/>
      <c r="W282" s="592"/>
      <c r="X282" s="592"/>
    </row>
    <row r="283" spans="3:26" x14ac:dyDescent="0.3">
      <c r="C283" s="572"/>
      <c r="D283" s="594"/>
      <c r="E283" s="592"/>
      <c r="F283" s="594"/>
      <c r="G283" s="594"/>
      <c r="Q283" s="592"/>
      <c r="R283" s="592"/>
      <c r="S283" s="592"/>
      <c r="T283" s="592"/>
      <c r="U283" s="592"/>
      <c r="V283" s="592"/>
      <c r="W283" s="592"/>
      <c r="X283" s="592"/>
    </row>
    <row r="284" spans="3:26" s="420" customFormat="1" x14ac:dyDescent="0.3">
      <c r="C284" s="572" t="s">
        <v>525</v>
      </c>
      <c r="D284" s="596" t="s">
        <v>1187</v>
      </c>
      <c r="E284" s="598"/>
      <c r="F284" s="596" t="s">
        <v>1187</v>
      </c>
      <c r="G284" s="596"/>
      <c r="H284" s="598"/>
      <c r="I284" s="598"/>
      <c r="J284" s="598"/>
      <c r="K284" s="598"/>
      <c r="L284" s="598"/>
      <c r="M284" s="598"/>
      <c r="N284" s="598"/>
      <c r="O284" s="598"/>
      <c r="P284" s="598"/>
      <c r="Q284" s="598"/>
      <c r="R284" s="598"/>
      <c r="S284" s="598"/>
      <c r="T284" s="598"/>
      <c r="U284" s="598"/>
      <c r="V284" s="598"/>
      <c r="W284" s="598"/>
      <c r="X284" s="598"/>
      <c r="Y284" s="418"/>
      <c r="Z284" s="396"/>
    </row>
    <row r="285" spans="3:26" x14ac:dyDescent="0.3">
      <c r="C285" s="599"/>
      <c r="D285" s="583"/>
      <c r="E285" s="592"/>
      <c r="F285" s="583"/>
      <c r="G285" s="583"/>
      <c r="H285" s="567"/>
      <c r="I285" s="567"/>
      <c r="J285" s="567"/>
      <c r="K285" s="567"/>
      <c r="L285" s="567"/>
      <c r="M285" s="567"/>
      <c r="N285" s="567"/>
      <c r="O285" s="567"/>
      <c r="P285" s="567"/>
      <c r="Q285" s="600"/>
      <c r="R285" s="592"/>
      <c r="S285" s="592"/>
      <c r="T285" s="592"/>
      <c r="U285" s="592"/>
      <c r="V285" s="592"/>
      <c r="W285" s="592"/>
      <c r="X285" s="592"/>
    </row>
    <row r="286" spans="3:26" s="420" customFormat="1" x14ac:dyDescent="0.3">
      <c r="C286" s="601" t="s">
        <v>514</v>
      </c>
      <c r="D286" s="603">
        <f>D274</f>
        <v>180155.97999999998</v>
      </c>
      <c r="E286" s="598"/>
      <c r="F286" s="603">
        <f>F274</f>
        <v>180155.97999999998</v>
      </c>
      <c r="G286" s="603"/>
      <c r="H286" s="598"/>
      <c r="I286" s="598"/>
      <c r="J286" s="598"/>
      <c r="K286" s="598"/>
      <c r="L286" s="598"/>
      <c r="M286" s="598"/>
      <c r="N286" s="598"/>
      <c r="O286" s="598"/>
      <c r="P286" s="598"/>
      <c r="Q286" s="598"/>
      <c r="R286" s="598"/>
      <c r="S286" s="598"/>
      <c r="T286" s="598"/>
      <c r="U286" s="598"/>
      <c r="V286" s="598"/>
      <c r="W286" s="598"/>
      <c r="X286" s="598"/>
      <c r="Y286" s="418"/>
      <c r="Z286" s="396"/>
    </row>
    <row r="287" spans="3:26" s="420" customFormat="1" x14ac:dyDescent="0.3">
      <c r="C287" s="604" t="s">
        <v>1190</v>
      </c>
      <c r="D287" s="583"/>
      <c r="E287" s="592"/>
      <c r="F287" s="583"/>
      <c r="G287" s="583"/>
      <c r="H287" s="567"/>
      <c r="I287" s="567"/>
      <c r="J287" s="567"/>
      <c r="K287" s="567"/>
      <c r="L287" s="567"/>
      <c r="M287" s="567"/>
      <c r="N287" s="567"/>
      <c r="O287" s="567"/>
      <c r="P287" s="567"/>
      <c r="Q287" s="592"/>
      <c r="R287" s="592"/>
      <c r="S287" s="592"/>
      <c r="T287" s="592"/>
      <c r="U287" s="592"/>
      <c r="V287" s="592"/>
      <c r="W287" s="592"/>
      <c r="X287" s="592"/>
      <c r="Y287" s="418"/>
      <c r="Z287" s="396"/>
    </row>
    <row r="288" spans="3:26" s="420" customFormat="1" x14ac:dyDescent="0.3">
      <c r="C288" s="601" t="s">
        <v>1191</v>
      </c>
      <c r="D288" s="583">
        <f>D24*0.05</f>
        <v>28000</v>
      </c>
      <c r="E288" s="598"/>
      <c r="F288" s="583">
        <f>F24*0.05</f>
        <v>28000</v>
      </c>
      <c r="G288" s="583"/>
      <c r="H288" s="598"/>
      <c r="I288" s="598"/>
      <c r="J288" s="598"/>
      <c r="K288" s="598"/>
      <c r="L288" s="598"/>
      <c r="M288" s="598"/>
      <c r="N288" s="605"/>
      <c r="O288" s="598"/>
      <c r="P288" s="598"/>
      <c r="Q288" s="598"/>
      <c r="R288" s="598"/>
      <c r="S288" s="598"/>
      <c r="T288" s="598"/>
      <c r="U288" s="598"/>
      <c r="V288" s="598"/>
      <c r="W288" s="598"/>
      <c r="X288" s="598"/>
      <c r="Y288" s="418"/>
      <c r="Z288" s="396"/>
    </row>
    <row r="289" spans="3:7" x14ac:dyDescent="0.3">
      <c r="C289" s="606" t="s">
        <v>1192</v>
      </c>
      <c r="D289" s="608">
        <f>D286-D288</f>
        <v>152155.97999999998</v>
      </c>
      <c r="F289" s="608">
        <f>F286-F288</f>
        <v>152155.97999999998</v>
      </c>
      <c r="G289" s="608"/>
    </row>
    <row r="290" spans="3:7" x14ac:dyDescent="0.3">
      <c r="D290" s="594"/>
      <c r="F290" s="594"/>
      <c r="G290" s="594"/>
    </row>
    <row r="291" spans="3:7" x14ac:dyDescent="0.3">
      <c r="C291" s="609" t="s">
        <v>1193</v>
      </c>
      <c r="D291" s="583">
        <f>D24*0.18</f>
        <v>100800</v>
      </c>
      <c r="F291" s="583">
        <f>F24*0.18</f>
        <v>100800</v>
      </c>
      <c r="G291" s="583"/>
    </row>
    <row r="292" spans="3:7" x14ac:dyDescent="0.3">
      <c r="C292" s="599"/>
    </row>
    <row r="293" spans="3:7" x14ac:dyDescent="0.3">
      <c r="C293" s="612" t="s">
        <v>1194</v>
      </c>
      <c r="D293" s="614">
        <f>D289-D291</f>
        <v>51355.979999999981</v>
      </c>
      <c r="F293" s="614">
        <f>F289-F291</f>
        <v>51355.979999999981</v>
      </c>
      <c r="G293" s="614"/>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F85"/>
  <sheetViews>
    <sheetView showGridLines="0" topLeftCell="A3" zoomScale="125" zoomScaleNormal="125" workbookViewId="0">
      <selection activeCell="F12" sqref="F12"/>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77734375" customWidth="1"/>
    <col min="5" max="5" width="16" customWidth="1"/>
    <col min="6" max="6" width="14" customWidth="1"/>
    <col min="7" max="7" width="12.77734375" customWidth="1"/>
    <col min="8" max="8" width="13.33203125" customWidth="1"/>
    <col min="9" max="9" width="12.109375" customWidth="1"/>
    <col min="10" max="10" width="13.44140625" customWidth="1"/>
    <col min="11" max="11" width="12" customWidth="1"/>
    <col min="15" max="15" width="14" customWidth="1"/>
    <col min="19" max="19" width="37.6640625" customWidth="1"/>
  </cols>
  <sheetData>
    <row r="1" spans="1:12" ht="18" x14ac:dyDescent="0.35">
      <c r="A1" s="11"/>
      <c r="B1" s="7" t="s">
        <v>773</v>
      </c>
    </row>
    <row r="2" spans="1:12" ht="19.5" customHeight="1" thickBot="1" x14ac:dyDescent="0.35"/>
    <row r="3" spans="1:12" s="235" customFormat="1" ht="34.5" customHeight="1" thickBot="1" x14ac:dyDescent="0.35">
      <c r="A3" s="236" t="s">
        <v>1</v>
      </c>
      <c r="B3" s="385" t="s">
        <v>4</v>
      </c>
      <c r="C3" s="364" t="s">
        <v>717</v>
      </c>
      <c r="D3" s="365" t="s">
        <v>718</v>
      </c>
      <c r="E3" s="366" t="s">
        <v>1384</v>
      </c>
      <c r="F3" s="1038" t="s">
        <v>1370</v>
      </c>
      <c r="G3" s="1038" t="s">
        <v>1383</v>
      </c>
      <c r="H3" s="1038" t="s">
        <v>1369</v>
      </c>
      <c r="I3" s="231" t="s">
        <v>721</v>
      </c>
      <c r="J3" s="233" t="s">
        <v>7</v>
      </c>
      <c r="K3" s="234" t="s">
        <v>722</v>
      </c>
      <c r="L3" s="366" t="s">
        <v>723</v>
      </c>
    </row>
    <row r="4" spans="1:12" ht="18.75" customHeight="1" x14ac:dyDescent="0.3">
      <c r="A4" s="172" t="s">
        <v>724</v>
      </c>
      <c r="B4" s="173"/>
      <c r="C4" s="173"/>
      <c r="D4" s="173"/>
      <c r="E4" s="1043"/>
      <c r="F4" s="1044"/>
      <c r="G4" s="1010"/>
      <c r="H4" s="1053"/>
      <c r="I4" s="1037"/>
      <c r="J4" s="174"/>
      <c r="K4" s="50"/>
      <c r="L4" s="80"/>
    </row>
    <row r="5" spans="1:12" x14ac:dyDescent="0.3">
      <c r="A5" s="175" t="s">
        <v>73</v>
      </c>
      <c r="B5" s="210" t="s">
        <v>650</v>
      </c>
      <c r="C5" s="146"/>
      <c r="D5" s="146"/>
      <c r="E5" s="170">
        <v>24000</v>
      </c>
      <c r="F5" s="1027"/>
      <c r="G5" s="1023">
        <v>29222</v>
      </c>
      <c r="H5" s="1012">
        <f>Tabelle41023[[#Totals],[Teilnahmebeiträge Fachseminare]]</f>
        <v>29222</v>
      </c>
      <c r="I5" s="1002">
        <v>24000</v>
      </c>
      <c r="J5" s="743">
        <v>23964</v>
      </c>
      <c r="K5" s="176"/>
      <c r="L5" s="146"/>
    </row>
    <row r="6" spans="1:12" x14ac:dyDescent="0.3">
      <c r="A6" s="175" t="s">
        <v>85</v>
      </c>
      <c r="B6" s="210" t="s">
        <v>651</v>
      </c>
      <c r="C6" s="146"/>
      <c r="D6" s="146"/>
      <c r="E6" s="170">
        <v>0</v>
      </c>
      <c r="F6" s="1027"/>
      <c r="G6" s="1023">
        <v>0</v>
      </c>
      <c r="H6" s="1012">
        <f>Tabelle41023[[#Totals],[Teilnahmebeiträge Veranstaltungen]]+Tabelle51324[[#Totals],[Teilnahmebeiträge Veranstaltungen]]</f>
        <v>0</v>
      </c>
      <c r="I6" s="1002">
        <v>0</v>
      </c>
      <c r="J6" s="743">
        <v>0</v>
      </c>
      <c r="K6" s="176"/>
      <c r="L6" s="146"/>
    </row>
    <row r="7" spans="1:12" ht="15" thickBot="1" x14ac:dyDescent="0.35">
      <c r="A7" s="175" t="s">
        <v>92</v>
      </c>
      <c r="B7" s="210" t="s">
        <v>725</v>
      </c>
      <c r="C7" s="146"/>
      <c r="D7" s="146"/>
      <c r="E7" s="170">
        <v>0</v>
      </c>
      <c r="F7" s="1027"/>
      <c r="G7" s="1023">
        <v>0</v>
      </c>
      <c r="H7" s="1012">
        <f>Tabelle41023[[#Totals],[Sonstige Einnahmen]]+Tabelle51324[[#Totals],[Sonstige Einnahmen]]</f>
        <v>0</v>
      </c>
      <c r="I7" s="1002">
        <v>0</v>
      </c>
      <c r="J7" s="743">
        <v>0</v>
      </c>
      <c r="K7" s="176"/>
      <c r="L7" s="146"/>
    </row>
    <row r="8" spans="1:12" ht="15" thickBot="1" x14ac:dyDescent="0.35">
      <c r="A8" s="177"/>
      <c r="B8" s="178"/>
      <c r="C8" s="178"/>
      <c r="D8" s="178" t="s">
        <v>556</v>
      </c>
      <c r="E8" s="1045">
        <f t="shared" ref="E8:J8" si="0">SUBTOTAL(9,E5:E7)</f>
        <v>24000</v>
      </c>
      <c r="F8" s="168">
        <f t="shared" si="0"/>
        <v>0</v>
      </c>
      <c r="G8" s="1055">
        <f t="shared" si="0"/>
        <v>29222</v>
      </c>
      <c r="H8" s="1013">
        <f t="shared" si="0"/>
        <v>29222</v>
      </c>
      <c r="I8" s="1003">
        <f t="shared" si="0"/>
        <v>24000</v>
      </c>
      <c r="J8" s="167">
        <f t="shared" si="0"/>
        <v>23964</v>
      </c>
      <c r="K8" s="179"/>
      <c r="L8" s="367"/>
    </row>
    <row r="9" spans="1:12" ht="18.75" customHeight="1" x14ac:dyDescent="0.3">
      <c r="A9" s="180" t="s">
        <v>119</v>
      </c>
      <c r="B9" s="181"/>
      <c r="C9" s="181"/>
      <c r="D9" s="181"/>
      <c r="E9" s="169"/>
      <c r="F9" s="1029"/>
      <c r="G9" s="1056"/>
      <c r="H9" s="1014"/>
      <c r="I9" s="1004"/>
      <c r="J9" s="181"/>
      <c r="K9" s="182"/>
      <c r="L9" s="146"/>
    </row>
    <row r="10" spans="1:12" x14ac:dyDescent="0.3">
      <c r="A10" s="183" t="s">
        <v>134</v>
      </c>
      <c r="B10" s="146" t="s">
        <v>726</v>
      </c>
      <c r="C10" s="146"/>
      <c r="D10" s="146"/>
      <c r="E10" s="170">
        <v>9600</v>
      </c>
      <c r="F10" s="1027"/>
      <c r="G10" s="1023">
        <v>9600</v>
      </c>
      <c r="H10" s="1015">
        <f>800*12</f>
        <v>9600</v>
      </c>
      <c r="I10" s="1005">
        <f>800*12</f>
        <v>9600</v>
      </c>
      <c r="J10" s="743">
        <v>9500</v>
      </c>
      <c r="K10" s="176"/>
      <c r="L10" s="146"/>
    </row>
    <row r="11" spans="1:12" x14ac:dyDescent="0.3">
      <c r="A11" s="183" t="s">
        <v>141</v>
      </c>
      <c r="B11" s="210" t="s">
        <v>727</v>
      </c>
      <c r="C11" s="146"/>
      <c r="D11" s="146"/>
      <c r="E11" s="170">
        <v>4400</v>
      </c>
      <c r="F11" s="1027"/>
      <c r="G11" s="1023">
        <v>4500</v>
      </c>
      <c r="H11" s="1012">
        <f>Tabelle61525[[#Totals],[Aufwandsentschädigungen]]</f>
        <v>4500</v>
      </c>
      <c r="I11" s="1002">
        <v>2400</v>
      </c>
      <c r="J11" s="747">
        <v>3110</v>
      </c>
      <c r="K11" s="176"/>
      <c r="L11" s="146"/>
    </row>
    <row r="12" spans="1:12" x14ac:dyDescent="0.3">
      <c r="A12" s="183" t="s">
        <v>1204</v>
      </c>
      <c r="B12" s="210" t="s">
        <v>729</v>
      </c>
      <c r="C12" s="146"/>
      <c r="D12" s="146"/>
      <c r="E12" s="170">
        <v>6000</v>
      </c>
      <c r="F12" s="1027"/>
      <c r="G12" s="1023">
        <v>2600</v>
      </c>
      <c r="H12" s="1012">
        <f>Tabelle61525[[#Totals],[Interne Reisekosten]]</f>
        <v>2600</v>
      </c>
      <c r="I12" s="1002">
        <v>1500</v>
      </c>
      <c r="J12" s="747">
        <v>897.76</v>
      </c>
      <c r="K12" s="176"/>
      <c r="L12" s="146"/>
    </row>
    <row r="13" spans="1:12" ht="15" customHeight="1" x14ac:dyDescent="0.3">
      <c r="A13" s="183" t="s">
        <v>272</v>
      </c>
      <c r="B13" s="210" t="s">
        <v>730</v>
      </c>
      <c r="C13" s="184"/>
      <c r="D13" s="184"/>
      <c r="E13" s="1046">
        <v>1400</v>
      </c>
      <c r="F13" s="1030"/>
      <c r="G13" s="1057">
        <v>1600</v>
      </c>
      <c r="H13" s="1039">
        <f>Tabelle61525[[#Totals],[Raum + Unterkunft intern]]</f>
        <v>1600</v>
      </c>
      <c r="I13" s="1002">
        <v>500</v>
      </c>
      <c r="J13" s="747">
        <v>551</v>
      </c>
      <c r="K13" s="185"/>
      <c r="L13" s="146"/>
    </row>
    <row r="14" spans="1:12" x14ac:dyDescent="0.3">
      <c r="A14" s="183" t="s">
        <v>296</v>
      </c>
      <c r="B14" s="212" t="s">
        <v>731</v>
      </c>
      <c r="C14" s="80"/>
      <c r="D14" s="80"/>
      <c r="E14" s="1047">
        <v>500</v>
      </c>
      <c r="F14" s="1031"/>
      <c r="G14" s="1058">
        <v>400</v>
      </c>
      <c r="H14" s="1040">
        <f>Tabelle61525[[#Totals],[Repräsentation/Bewirtung intern]]</f>
        <v>400</v>
      </c>
      <c r="I14" s="1002">
        <v>500</v>
      </c>
      <c r="J14" s="748">
        <v>0</v>
      </c>
      <c r="K14" s="186"/>
      <c r="L14" s="80"/>
    </row>
    <row r="15" spans="1:12" x14ac:dyDescent="0.3">
      <c r="A15" s="183" t="s">
        <v>339</v>
      </c>
      <c r="B15" s="210" t="s">
        <v>732</v>
      </c>
      <c r="C15" s="146"/>
      <c r="D15" s="146"/>
      <c r="E15" s="170">
        <v>23000</v>
      </c>
      <c r="F15" s="1027"/>
      <c r="G15" s="1023">
        <v>24540</v>
      </c>
      <c r="H15" s="1012">
        <f>Tabelle41023[[#Totals],[Honorare Dozierende Fachseminare]]</f>
        <v>24540</v>
      </c>
      <c r="I15" s="1002">
        <v>22000</v>
      </c>
      <c r="J15" s="747">
        <v>22905</v>
      </c>
      <c r="K15" s="176"/>
      <c r="L15" s="146"/>
    </row>
    <row r="16" spans="1:12" x14ac:dyDescent="0.3">
      <c r="A16" s="183" t="s">
        <v>350</v>
      </c>
      <c r="B16" s="211" t="s">
        <v>318</v>
      </c>
      <c r="C16" s="80"/>
      <c r="D16" s="80"/>
      <c r="E16" s="1047">
        <v>2000</v>
      </c>
      <c r="F16" s="1031"/>
      <c r="G16" s="1058">
        <v>2000</v>
      </c>
      <c r="H16" s="1018">
        <f>Tabelle51324[[#Totals],[Andere Honorare]]</f>
        <v>2000</v>
      </c>
      <c r="I16" s="1002">
        <v>0</v>
      </c>
      <c r="J16" s="748">
        <v>0</v>
      </c>
      <c r="K16" s="186"/>
      <c r="L16" s="80"/>
    </row>
    <row r="17" spans="1:12" x14ac:dyDescent="0.3">
      <c r="A17" s="183" t="s">
        <v>359</v>
      </c>
      <c r="B17" s="211" t="s">
        <v>733</v>
      </c>
      <c r="C17" s="80"/>
      <c r="D17" s="80"/>
      <c r="E17" s="1047">
        <v>500</v>
      </c>
      <c r="F17" s="1031"/>
      <c r="G17" s="1058">
        <v>100</v>
      </c>
      <c r="H17" s="1018">
        <f>Tabelle41023[[#Totals],[Externe Reisekosten]]</f>
        <v>100</v>
      </c>
      <c r="I17" s="1002">
        <v>1000</v>
      </c>
      <c r="J17" s="748">
        <v>0</v>
      </c>
      <c r="K17" s="186"/>
      <c r="L17" s="80"/>
    </row>
    <row r="18" spans="1:12" x14ac:dyDescent="0.3">
      <c r="A18" s="183" t="s">
        <v>368</v>
      </c>
      <c r="B18" s="211" t="s">
        <v>363</v>
      </c>
      <c r="C18" s="80"/>
      <c r="D18" s="80"/>
      <c r="E18" s="1047">
        <v>200</v>
      </c>
      <c r="F18" s="1031"/>
      <c r="G18" s="1058">
        <v>500</v>
      </c>
      <c r="H18" s="1018">
        <f>Tabelle41023[[#Totals],[Repräsentation/Bewirtung extern]]+Tabelle51324[[#Totals],[Repräsentation/Bewirtung extern]]</f>
        <v>500</v>
      </c>
      <c r="I18" s="1002">
        <v>200</v>
      </c>
      <c r="J18" s="748">
        <v>0</v>
      </c>
      <c r="K18" s="186"/>
      <c r="L18" s="80"/>
    </row>
    <row r="19" spans="1:12" x14ac:dyDescent="0.3">
      <c r="A19" s="183" t="s">
        <v>380</v>
      </c>
      <c r="B19" s="211" t="s">
        <v>734</v>
      </c>
      <c r="C19" s="80"/>
      <c r="D19" s="80"/>
      <c r="E19" s="1047">
        <v>500</v>
      </c>
      <c r="F19" s="1031"/>
      <c r="G19" s="1058">
        <v>600</v>
      </c>
      <c r="H19" s="1018">
        <f>Tabelle41023[[#Totals],[Raum + Unterkunft extern]]+Tabelle51324[[#Totals],[Raum + Unterkunft extern]]</f>
        <v>600</v>
      </c>
      <c r="I19" s="1002">
        <v>2000</v>
      </c>
      <c r="J19" s="748">
        <v>0</v>
      </c>
      <c r="K19" s="186"/>
      <c r="L19" s="80"/>
    </row>
    <row r="20" spans="1:12" x14ac:dyDescent="0.3">
      <c r="A20" s="183" t="s">
        <v>390</v>
      </c>
      <c r="B20" s="211" t="s">
        <v>1229</v>
      </c>
      <c r="C20" s="80"/>
      <c r="D20" s="80"/>
      <c r="E20" s="1047">
        <v>0</v>
      </c>
      <c r="F20" s="1031"/>
      <c r="G20" s="1058">
        <v>2620</v>
      </c>
      <c r="H20" s="1018">
        <f>Tabelle41023[[#Totals],[Verwaltungs- und Druckkosten]]+Tabelle51324[[#Totals],[Druckkosten]]</f>
        <v>2620</v>
      </c>
      <c r="I20" s="1002">
        <v>0</v>
      </c>
      <c r="J20" s="748">
        <v>0</v>
      </c>
      <c r="K20" s="186"/>
      <c r="L20" s="80"/>
    </row>
    <row r="21" spans="1:12" x14ac:dyDescent="0.3">
      <c r="A21" s="183" t="s">
        <v>402</v>
      </c>
      <c r="B21" s="212" t="s">
        <v>397</v>
      </c>
      <c r="C21" s="80"/>
      <c r="D21" s="80"/>
      <c r="E21" s="1047">
        <v>1000</v>
      </c>
      <c r="F21" s="1031"/>
      <c r="G21" s="1058">
        <v>1000</v>
      </c>
      <c r="H21" s="1040">
        <f>Tabelle51324[[#Totals],[Sonstige Kosten]]</f>
        <v>1000</v>
      </c>
      <c r="I21" s="1002">
        <v>1000</v>
      </c>
      <c r="J21" s="748">
        <v>30</v>
      </c>
      <c r="K21" s="186"/>
      <c r="L21" s="80"/>
    </row>
    <row r="22" spans="1:12" ht="15" thickBot="1" x14ac:dyDescent="0.35">
      <c r="A22" s="183" t="s">
        <v>424</v>
      </c>
      <c r="B22" s="212" t="s">
        <v>675</v>
      </c>
      <c r="C22" s="80"/>
      <c r="D22" s="80"/>
      <c r="E22" s="1047">
        <v>500</v>
      </c>
      <c r="F22" s="1031"/>
      <c r="G22" s="1059">
        <v>500</v>
      </c>
      <c r="H22" s="1054">
        <f>Tabelle51324[[#Totals],[Rechtsangelegenheiten]]</f>
        <v>500</v>
      </c>
      <c r="I22" s="1006">
        <v>500</v>
      </c>
      <c r="J22" s="748">
        <v>0</v>
      </c>
      <c r="K22" s="186"/>
      <c r="L22" s="80"/>
    </row>
    <row r="23" spans="1:12" ht="15" thickBot="1" x14ac:dyDescent="0.35">
      <c r="A23" s="187"/>
      <c r="B23" s="188"/>
      <c r="C23" s="188"/>
      <c r="D23" s="189" t="s">
        <v>556</v>
      </c>
      <c r="E23" s="1060">
        <f t="shared" ref="E23:J23" si="1">SUBTOTAL(109,E10:E22)</f>
        <v>49600</v>
      </c>
      <c r="F23" s="1060">
        <f t="shared" si="1"/>
        <v>0</v>
      </c>
      <c r="G23" s="1060">
        <f t="shared" si="1"/>
        <v>50560</v>
      </c>
      <c r="H23" s="171">
        <f t="shared" si="1"/>
        <v>50560</v>
      </c>
      <c r="I23" s="171">
        <f t="shared" si="1"/>
        <v>41200</v>
      </c>
      <c r="J23" s="171">
        <f t="shared" si="1"/>
        <v>36993.760000000002</v>
      </c>
      <c r="K23" s="190"/>
      <c r="L23" s="668"/>
    </row>
    <row r="24" spans="1:12" ht="15" thickBot="1" x14ac:dyDescent="0.35">
      <c r="A24" s="78"/>
      <c r="B24" s="80"/>
      <c r="C24" s="80"/>
      <c r="D24" s="80"/>
      <c r="E24" s="80"/>
      <c r="F24" s="80"/>
      <c r="G24" s="80"/>
      <c r="H24" s="80"/>
    </row>
    <row r="25" spans="1:12" ht="15" thickBot="1" x14ac:dyDescent="0.35">
      <c r="A25" s="78"/>
      <c r="B25" s="80"/>
      <c r="C25" s="80"/>
      <c r="D25" s="192" t="s">
        <v>735</v>
      </c>
      <c r="E25" s="193">
        <f>E8-Tabelle182226[[#Totals],[Freie Eingabe Plan 23-24]]</f>
        <v>-25600</v>
      </c>
      <c r="F25" s="193">
        <f>F8-Tabelle182226[[#Totals],[Rechnung HHJ 23-24]]</f>
        <v>0</v>
      </c>
      <c r="G25" s="193">
        <f>G8-Tabelle182226[[#Totals],[Freie Eingabe Plan 22-232]]</f>
        <v>-21338</v>
      </c>
      <c r="H25" s="368">
        <f>H8-Tabelle182226[[#Totals],[Rechnung HHJ 22-232]]</f>
        <v>-21338</v>
      </c>
      <c r="I25" s="368">
        <f>I8-Tabelle182226[[#Totals],[Freie Eingabe Plan HHJ 21-22]]</f>
        <v>-17200</v>
      </c>
      <c r="J25" s="368">
        <f>J8-Tabelle182226[[#Totals],[IST HHJ 21-22]]</f>
        <v>-13029.760000000002</v>
      </c>
      <c r="K25" s="368"/>
    </row>
    <row r="26" spans="1:12" x14ac:dyDescent="0.3">
      <c r="A26" s="77"/>
      <c r="B26" s="76"/>
      <c r="C26" s="76"/>
      <c r="D26" s="76"/>
      <c r="E26" s="76"/>
      <c r="F26" s="76"/>
      <c r="G26" s="76"/>
      <c r="H26" s="76"/>
    </row>
    <row r="27" spans="1:12" ht="15.6" x14ac:dyDescent="0.3">
      <c r="B27" s="114" t="s">
        <v>736</v>
      </c>
      <c r="C27" s="76"/>
      <c r="D27" s="76"/>
      <c r="E27" s="88"/>
      <c r="F27" s="76"/>
      <c r="G27" s="76"/>
      <c r="H27" s="76"/>
    </row>
    <row r="28" spans="1:12" ht="15.6" x14ac:dyDescent="0.3">
      <c r="B28" s="77" t="s">
        <v>737</v>
      </c>
      <c r="C28" s="76"/>
      <c r="D28" s="76"/>
      <c r="E28" s="88"/>
      <c r="F28" s="76"/>
      <c r="G28" s="76"/>
      <c r="H28" s="76"/>
    </row>
    <row r="29" spans="1:12" x14ac:dyDescent="0.3">
      <c r="B29" s="77" t="s">
        <v>738</v>
      </c>
      <c r="C29" s="80"/>
      <c r="D29" s="80"/>
      <c r="E29" s="89"/>
      <c r="F29" s="80"/>
      <c r="G29" s="80"/>
      <c r="H29" s="80"/>
    </row>
    <row r="30" spans="1:12" x14ac:dyDescent="0.3">
      <c r="A30" s="78"/>
      <c r="B30" s="80"/>
      <c r="C30" s="80"/>
      <c r="D30" s="80"/>
      <c r="E30" s="89"/>
      <c r="F30" s="80"/>
      <c r="G30" s="80"/>
      <c r="H30" s="80"/>
    </row>
    <row r="31" spans="1:12" x14ac:dyDescent="0.3">
      <c r="A31" s="77"/>
      <c r="B31" s="76"/>
      <c r="C31" s="76"/>
      <c r="D31" s="76"/>
      <c r="E31" s="76"/>
      <c r="F31" s="76"/>
      <c r="G31" s="76"/>
      <c r="H31" s="76"/>
    </row>
    <row r="32" spans="1:12" ht="15.6" x14ac:dyDescent="0.3">
      <c r="A32" s="7"/>
      <c r="B32" s="7" t="s">
        <v>1231</v>
      </c>
      <c r="D32" s="6" t="s">
        <v>739</v>
      </c>
    </row>
    <row r="33" spans="1:32" ht="16.2" thickBot="1" x14ac:dyDescent="0.35">
      <c r="A33" s="7"/>
    </row>
    <row r="34" spans="1:32" ht="15" thickBot="1" x14ac:dyDescent="0.35">
      <c r="A34" s="369"/>
      <c r="B34" s="370" t="s">
        <v>656</v>
      </c>
      <c r="C34" s="371" t="s">
        <v>73</v>
      </c>
      <c r="D34" s="372" t="s">
        <v>85</v>
      </c>
      <c r="E34" s="372" t="s">
        <v>92</v>
      </c>
      <c r="F34" s="373" t="s">
        <v>339</v>
      </c>
      <c r="G34" s="373" t="s">
        <v>350</v>
      </c>
      <c r="H34" s="373" t="s">
        <v>359</v>
      </c>
      <c r="I34" s="373" t="s">
        <v>368</v>
      </c>
      <c r="J34" s="373" t="s">
        <v>380</v>
      </c>
      <c r="K34" s="373" t="s">
        <v>390</v>
      </c>
      <c r="L34" s="374"/>
      <c r="R34" s="369"/>
      <c r="S34" s="370" t="s">
        <v>656</v>
      </c>
      <c r="T34" s="371" t="s">
        <v>73</v>
      </c>
      <c r="U34" s="372" t="s">
        <v>85</v>
      </c>
      <c r="V34" s="372" t="s">
        <v>92</v>
      </c>
      <c r="W34" s="373" t="s">
        <v>339</v>
      </c>
      <c r="X34" s="373" t="s">
        <v>350</v>
      </c>
      <c r="Y34" s="373" t="s">
        <v>359</v>
      </c>
      <c r="Z34" s="373" t="s">
        <v>368</v>
      </c>
      <c r="AA34" s="373" t="s">
        <v>380</v>
      </c>
      <c r="AB34" s="373" t="s">
        <v>390</v>
      </c>
      <c r="AC34" s="374"/>
    </row>
    <row r="35" spans="1:32" ht="55.8" thickBot="1" x14ac:dyDescent="0.35">
      <c r="A35" s="95" t="s">
        <v>740</v>
      </c>
      <c r="B35" s="139" t="s">
        <v>741</v>
      </c>
      <c r="C35" s="375" t="s">
        <v>742</v>
      </c>
      <c r="D35" s="376" t="s">
        <v>651</v>
      </c>
      <c r="E35" s="376" t="s">
        <v>743</v>
      </c>
      <c r="F35" s="376" t="s">
        <v>315</v>
      </c>
      <c r="G35" s="376" t="s">
        <v>748</v>
      </c>
      <c r="H35" s="376" t="s">
        <v>321</v>
      </c>
      <c r="I35" s="376" t="s">
        <v>744</v>
      </c>
      <c r="J35" s="376" t="s">
        <v>745</v>
      </c>
      <c r="K35" s="376" t="s">
        <v>1222</v>
      </c>
      <c r="L35" s="377" t="s">
        <v>607</v>
      </c>
      <c r="R35" s="95" t="s">
        <v>740</v>
      </c>
      <c r="S35" s="139" t="s">
        <v>741</v>
      </c>
      <c r="T35" s="375" t="s">
        <v>742</v>
      </c>
      <c r="U35" s="376" t="s">
        <v>651</v>
      </c>
      <c r="V35" s="376" t="s">
        <v>743</v>
      </c>
      <c r="W35" s="376" t="s">
        <v>315</v>
      </c>
      <c r="X35" s="376" t="s">
        <v>748</v>
      </c>
      <c r="Y35" s="376" t="s">
        <v>321</v>
      </c>
      <c r="Z35" s="376" t="s">
        <v>744</v>
      </c>
      <c r="AA35" s="376" t="s">
        <v>745</v>
      </c>
      <c r="AB35" s="376" t="s">
        <v>1222</v>
      </c>
      <c r="AC35" s="377" t="s">
        <v>607</v>
      </c>
    </row>
    <row r="36" spans="1:32" s="81" customFormat="1" ht="240" customHeight="1" outlineLevel="1" x14ac:dyDescent="0.3">
      <c r="A36" s="90">
        <f>ROW(A1)</f>
        <v>1</v>
      </c>
      <c r="B36" s="662" t="s">
        <v>1271</v>
      </c>
      <c r="C36" s="115"/>
      <c r="D36" s="291"/>
      <c r="E36" s="291"/>
      <c r="F36" s="291"/>
      <c r="G36" s="291"/>
      <c r="H36" s="291"/>
      <c r="I36" s="291"/>
      <c r="J36" s="291"/>
      <c r="K36" s="291"/>
      <c r="L36" s="295">
        <f>SUM(C36:E36)-SUM(F36:K36)</f>
        <v>0</v>
      </c>
      <c r="N36" s="660" t="s">
        <v>1288</v>
      </c>
      <c r="R36" s="90">
        <f t="shared" ref="R36:R42" si="2">ROW(A1)</f>
        <v>1</v>
      </c>
      <c r="S36" s="662" t="s">
        <v>1271</v>
      </c>
      <c r="T36" s="115"/>
      <c r="U36" s="291"/>
      <c r="V36" s="291"/>
      <c r="W36" s="291"/>
      <c r="X36" s="291"/>
      <c r="Y36" s="291"/>
      <c r="Z36" s="291"/>
      <c r="AA36" s="291"/>
      <c r="AB36" s="291"/>
      <c r="AC36" s="295">
        <f>SUM(T36:V36)-SUM(W36:AB36)</f>
        <v>0</v>
      </c>
      <c r="AE36" s="660" t="s">
        <v>1288</v>
      </c>
    </row>
    <row r="37" spans="1:32" s="81" customFormat="1" ht="42" customHeight="1" outlineLevel="1" x14ac:dyDescent="0.3">
      <c r="A37" s="90">
        <f t="shared" ref="A37:A42" si="3">ROW(A2)</f>
        <v>2</v>
      </c>
      <c r="B37" s="273" t="s">
        <v>1379</v>
      </c>
      <c r="C37" s="115">
        <f>1350*3</f>
        <v>4050</v>
      </c>
      <c r="D37" s="116"/>
      <c r="E37" s="116"/>
      <c r="F37" s="116">
        <f>765*3</f>
        <v>2295</v>
      </c>
      <c r="G37" s="116"/>
      <c r="H37" s="116"/>
      <c r="I37" s="116"/>
      <c r="J37" s="116"/>
      <c r="K37" s="116"/>
      <c r="L37" s="117">
        <f t="shared" ref="L37:L42" si="4">SUM(C37:E37)-SUM(F37:K37)</f>
        <v>1755</v>
      </c>
      <c r="R37" s="90">
        <f t="shared" si="2"/>
        <v>2</v>
      </c>
      <c r="S37" s="273" t="s">
        <v>1274</v>
      </c>
      <c r="T37" s="115">
        <v>5388</v>
      </c>
      <c r="U37" s="116"/>
      <c r="V37" s="116"/>
      <c r="W37" s="116">
        <f>765*6</f>
        <v>4590</v>
      </c>
      <c r="X37" s="116">
        <f>43*6</f>
        <v>258</v>
      </c>
      <c r="Y37" s="116"/>
      <c r="Z37" s="116"/>
      <c r="AA37" s="116"/>
      <c r="AB37" s="116">
        <f>270*2</f>
        <v>540</v>
      </c>
      <c r="AC37" s="117">
        <f t="shared" ref="AC37:AC42" si="5">SUM(T37:V37)-SUM(W37:AB37)</f>
        <v>0</v>
      </c>
    </row>
    <row r="38" spans="1:32" s="81" customFormat="1" ht="36.75" customHeight="1" outlineLevel="1" x14ac:dyDescent="0.3">
      <c r="A38" s="90">
        <f t="shared" si="3"/>
        <v>3</v>
      </c>
      <c r="B38" s="273" t="s">
        <v>1382</v>
      </c>
      <c r="C38" s="115">
        <f>1350+1000</f>
        <v>2350</v>
      </c>
      <c r="D38" s="116"/>
      <c r="E38" s="707"/>
      <c r="F38" s="708">
        <f>765*3+1800</f>
        <v>4095</v>
      </c>
      <c r="G38" s="116"/>
      <c r="H38" s="116"/>
      <c r="I38" s="116"/>
      <c r="J38" s="116"/>
      <c r="K38" s="116"/>
      <c r="L38" s="117">
        <f t="shared" si="4"/>
        <v>-1745</v>
      </c>
      <c r="R38" s="90">
        <f t="shared" si="2"/>
        <v>3</v>
      </c>
      <c r="S38" s="273" t="s">
        <v>1273</v>
      </c>
      <c r="T38" s="115">
        <v>5388</v>
      </c>
      <c r="U38" s="116"/>
      <c r="V38" s="707"/>
      <c r="W38" s="708">
        <f>765*6</f>
        <v>4590</v>
      </c>
      <c r="X38" s="116">
        <f>43*6</f>
        <v>258</v>
      </c>
      <c r="Y38" s="116"/>
      <c r="Z38" s="116"/>
      <c r="AA38" s="116"/>
      <c r="AB38" s="116">
        <v>540</v>
      </c>
      <c r="AC38" s="117">
        <f t="shared" si="5"/>
        <v>0</v>
      </c>
    </row>
    <row r="39" spans="1:32" s="81" customFormat="1" ht="44.25" customHeight="1" outlineLevel="1" x14ac:dyDescent="0.3">
      <c r="A39" s="90">
        <f t="shared" si="3"/>
        <v>4</v>
      </c>
      <c r="B39" s="273" t="s">
        <v>1380</v>
      </c>
      <c r="C39" s="115">
        <v>1200</v>
      </c>
      <c r="D39" s="116"/>
      <c r="E39" s="116"/>
      <c r="F39" s="116">
        <v>1080</v>
      </c>
      <c r="G39" s="116"/>
      <c r="H39" s="116"/>
      <c r="I39" s="116"/>
      <c r="J39" s="116"/>
      <c r="K39" s="116"/>
      <c r="L39" s="117">
        <f t="shared" si="4"/>
        <v>120</v>
      </c>
      <c r="R39" s="90">
        <f t="shared" si="2"/>
        <v>4</v>
      </c>
      <c r="S39" s="273" t="s">
        <v>1272</v>
      </c>
      <c r="T39" s="115">
        <v>2492</v>
      </c>
      <c r="U39" s="116"/>
      <c r="V39" s="116"/>
      <c r="W39" s="116">
        <f>540*4</f>
        <v>2160</v>
      </c>
      <c r="X39" s="116">
        <f>43*4</f>
        <v>172</v>
      </c>
      <c r="Y39" s="116"/>
      <c r="Z39" s="116"/>
      <c r="AA39" s="116"/>
      <c r="AB39" s="116">
        <v>160</v>
      </c>
      <c r="AC39" s="117">
        <f t="shared" si="5"/>
        <v>0</v>
      </c>
    </row>
    <row r="40" spans="1:32" s="81" customFormat="1" ht="42.75" customHeight="1" outlineLevel="1" x14ac:dyDescent="0.3">
      <c r="A40" s="90">
        <f t="shared" si="3"/>
        <v>5</v>
      </c>
      <c r="B40" s="273" t="s">
        <v>1381</v>
      </c>
      <c r="C40" s="115">
        <v>1500</v>
      </c>
      <c r="D40" s="116"/>
      <c r="E40" s="116"/>
      <c r="F40" s="116">
        <v>1800</v>
      </c>
      <c r="G40" s="116"/>
      <c r="H40" s="116"/>
      <c r="I40" s="116"/>
      <c r="J40" s="116"/>
      <c r="K40" s="116"/>
      <c r="L40" s="117">
        <f t="shared" si="4"/>
        <v>-300</v>
      </c>
      <c r="R40" s="90">
        <f t="shared" si="2"/>
        <v>5</v>
      </c>
      <c r="S40" s="273" t="s">
        <v>1275</v>
      </c>
      <c r="T40" s="115">
        <v>8264</v>
      </c>
      <c r="U40" s="116"/>
      <c r="V40" s="116"/>
      <c r="W40" s="116">
        <f>900*8</f>
        <v>7200</v>
      </c>
      <c r="X40" s="116">
        <f>43*8</f>
        <v>344</v>
      </c>
      <c r="Y40" s="116"/>
      <c r="Z40" s="116"/>
      <c r="AA40" s="116"/>
      <c r="AB40" s="116">
        <v>720</v>
      </c>
      <c r="AC40" s="117">
        <f t="shared" si="5"/>
        <v>0</v>
      </c>
    </row>
    <row r="41" spans="1:32" s="81" customFormat="1" ht="37.5" customHeight="1" outlineLevel="1" x14ac:dyDescent="0.3">
      <c r="A41" s="90">
        <f t="shared" si="3"/>
        <v>6</v>
      </c>
      <c r="B41" s="273"/>
      <c r="C41" s="115"/>
      <c r="D41" s="116"/>
      <c r="E41" s="116"/>
      <c r="F41" s="709"/>
      <c r="G41" s="116"/>
      <c r="H41" s="116"/>
      <c r="I41" s="116"/>
      <c r="J41" s="116"/>
      <c r="K41" s="116"/>
      <c r="L41" s="117">
        <f t="shared" si="4"/>
        <v>0</v>
      </c>
      <c r="R41" s="90">
        <f t="shared" si="2"/>
        <v>6</v>
      </c>
      <c r="S41" s="273" t="s">
        <v>1276</v>
      </c>
      <c r="T41" s="115">
        <v>4132</v>
      </c>
      <c r="U41" s="116"/>
      <c r="V41" s="116"/>
      <c r="W41" s="709">
        <f>900*4</f>
        <v>3600</v>
      </c>
      <c r="X41" s="116">
        <f>43*4</f>
        <v>172</v>
      </c>
      <c r="Y41" s="116"/>
      <c r="Z41" s="116"/>
      <c r="AA41" s="116"/>
      <c r="AB41" s="116">
        <v>360</v>
      </c>
      <c r="AC41" s="117">
        <f t="shared" si="5"/>
        <v>0</v>
      </c>
    </row>
    <row r="42" spans="1:32" s="81" customFormat="1" hidden="1" outlineLevel="1" x14ac:dyDescent="0.3">
      <c r="A42" s="90">
        <f t="shared" si="3"/>
        <v>7</v>
      </c>
      <c r="B42" s="82" t="s">
        <v>606</v>
      </c>
      <c r="C42" s="118">
        <v>3558</v>
      </c>
      <c r="D42" s="119">
        <v>0</v>
      </c>
      <c r="E42" s="119">
        <v>0</v>
      </c>
      <c r="F42" s="119">
        <v>2400</v>
      </c>
      <c r="G42" s="119">
        <v>258</v>
      </c>
      <c r="H42" s="119">
        <v>100</v>
      </c>
      <c r="I42" s="119">
        <v>200</v>
      </c>
      <c r="J42" s="119">
        <v>500</v>
      </c>
      <c r="K42" s="119">
        <v>100</v>
      </c>
      <c r="L42" s="117">
        <f t="shared" si="4"/>
        <v>0</v>
      </c>
      <c r="R42" s="90">
        <f t="shared" si="2"/>
        <v>7</v>
      </c>
      <c r="S42" s="82" t="s">
        <v>606</v>
      </c>
      <c r="T42" s="118">
        <v>3558</v>
      </c>
      <c r="U42" s="119">
        <v>0</v>
      </c>
      <c r="V42" s="119">
        <v>0</v>
      </c>
      <c r="W42" s="119">
        <v>2400</v>
      </c>
      <c r="X42" s="119">
        <v>258</v>
      </c>
      <c r="Y42" s="119">
        <v>100</v>
      </c>
      <c r="Z42" s="119">
        <v>200</v>
      </c>
      <c r="AA42" s="119">
        <v>500</v>
      </c>
      <c r="AB42" s="119">
        <v>100</v>
      </c>
      <c r="AC42" s="117">
        <f t="shared" si="5"/>
        <v>0</v>
      </c>
    </row>
    <row r="43" spans="1:32" s="81" customFormat="1" ht="15" outlineLevel="1" thickBot="1" x14ac:dyDescent="0.35">
      <c r="A43" s="90"/>
      <c r="B43" s="81" t="s">
        <v>606</v>
      </c>
      <c r="C43" s="121">
        <v>12000</v>
      </c>
      <c r="D43" s="116"/>
      <c r="E43" s="116"/>
      <c r="F43" s="122">
        <v>12000</v>
      </c>
      <c r="G43" s="116"/>
      <c r="H43" s="116"/>
      <c r="I43" s="116"/>
      <c r="J43" s="116"/>
      <c r="K43" s="116"/>
      <c r="L43" s="123"/>
      <c r="R43" s="90"/>
      <c r="T43" s="121"/>
      <c r="U43" s="116"/>
      <c r="V43" s="116"/>
      <c r="W43" s="122"/>
      <c r="X43" s="116"/>
      <c r="Y43" s="116"/>
      <c r="Z43" s="116"/>
      <c r="AA43" s="116"/>
      <c r="AB43" s="116"/>
      <c r="AC43" s="123"/>
    </row>
    <row r="44" spans="1:32" s="98" customFormat="1" ht="20.25" customHeight="1" thickBot="1" x14ac:dyDescent="0.35">
      <c r="A44" s="96"/>
      <c r="B44" s="97" t="s">
        <v>697</v>
      </c>
      <c r="C44" s="272">
        <f>SUBTOTAL(109,Tabelle4102351[Teilnahmebeiträge Fachseminare])</f>
        <v>21100</v>
      </c>
      <c r="D44" s="386">
        <f>SUBTOTAL(9,Tabelle4102351[Teilnahmebeiträge Veranstaltungen])</f>
        <v>0</v>
      </c>
      <c r="E44" s="386">
        <f>SUBTOTAL(9,Tabelle4102351[Sonstige Einnahmen])</f>
        <v>0</v>
      </c>
      <c r="F44" s="387">
        <f>SUBTOTAL(109,Tabelle4102351[Honorare Dozierende Fachseminare])</f>
        <v>21270</v>
      </c>
      <c r="G44" s="387">
        <f>SUBTOTAL(109,Tabelle4102351[Aufwandsentschädigungen])</f>
        <v>0</v>
      </c>
      <c r="H44" s="387">
        <f>SUBTOTAL(109,Tabelle4102351[Externe Reisekosten])</f>
        <v>0</v>
      </c>
      <c r="I44" s="387">
        <f>SUBTOTAL(109,Tabelle4102351[Repräsentation/Bewirtung extern])</f>
        <v>0</v>
      </c>
      <c r="J44" s="387">
        <f>SUBTOTAL(109,Tabelle4102351[Raum + Unterkunft extern])</f>
        <v>0</v>
      </c>
      <c r="K44" s="387">
        <f>SUBTOTAL(109,Tabelle4102351[Verwaltungs- und Druckkosten])</f>
        <v>0</v>
      </c>
      <c r="L44" s="387">
        <f>SUBTOTAL(109,Tabelle4102351[Gesamt])</f>
        <v>-170</v>
      </c>
      <c r="R44" s="96"/>
      <c r="S44" s="97" t="s">
        <v>697</v>
      </c>
      <c r="T44" s="272">
        <f>SUBTOTAL(9,Tabelle41023[Teilnahmebeiträge Fachseminare])</f>
        <v>29222</v>
      </c>
      <c r="U44" s="386">
        <f>SUBTOTAL(9,Tabelle41023[Teilnahmebeiträge Veranstaltungen])</f>
        <v>0</v>
      </c>
      <c r="V44" s="386">
        <f>SUBTOTAL(9,Tabelle41023[Sonstige Einnahmen])</f>
        <v>0</v>
      </c>
      <c r="W44" s="387">
        <f>SUBTOTAL(9,Tabelle41023[Honorare Dozierende Fachseminare])</f>
        <v>24540</v>
      </c>
      <c r="X44" s="387">
        <f>SUBTOTAL(9,Tabelle41023[Aufwandsentschädigungen])</f>
        <v>1462</v>
      </c>
      <c r="Y44" s="387">
        <f>SUBTOTAL(9,Tabelle41023[Externe Reisekosten])</f>
        <v>100</v>
      </c>
      <c r="Z44" s="387">
        <f>SUBTOTAL(9,Tabelle41023[Repräsentation/Bewirtung extern])</f>
        <v>200</v>
      </c>
      <c r="AA44" s="387">
        <f>SUBTOTAL(9,Tabelle41023[Raum + Unterkunft extern])</f>
        <v>500</v>
      </c>
      <c r="AB44" s="387">
        <f>SUBTOTAL(9,Tabelle41023[Verwaltungs- und Druckkosten])</f>
        <v>2420</v>
      </c>
      <c r="AC44" s="666">
        <f>SUBTOTAL(9,Tabelle41023[Gesamt])</f>
        <v>0</v>
      </c>
    </row>
    <row r="45" spans="1:32" ht="15" customHeight="1" x14ac:dyDescent="0.35">
      <c r="A45" s="11"/>
      <c r="R45" s="11"/>
    </row>
    <row r="46" spans="1:32" s="75" customFormat="1" ht="15.6" x14ac:dyDescent="0.3">
      <c r="A46" s="7"/>
      <c r="B46" s="7" t="s">
        <v>746</v>
      </c>
      <c r="D46" s="6" t="s">
        <v>739</v>
      </c>
      <c r="R46" s="7"/>
      <c r="S46" s="7" t="s">
        <v>746</v>
      </c>
      <c r="U46" s="6" t="s">
        <v>739</v>
      </c>
    </row>
    <row r="47" spans="1:32" ht="15.75" customHeight="1" thickBot="1" x14ac:dyDescent="0.4">
      <c r="A47" s="11"/>
      <c r="R47" s="11"/>
    </row>
    <row r="48" spans="1:32" ht="15" thickBot="1" x14ac:dyDescent="0.35">
      <c r="A48" s="100"/>
      <c r="B48" s="142" t="s">
        <v>656</v>
      </c>
      <c r="C48" s="91" t="s">
        <v>83</v>
      </c>
      <c r="D48" s="92" t="s">
        <v>90</v>
      </c>
      <c r="E48" s="93" t="s">
        <v>141</v>
      </c>
      <c r="F48" s="93" t="s">
        <v>246</v>
      </c>
      <c r="G48" s="93" t="s">
        <v>272</v>
      </c>
      <c r="H48" s="93" t="s">
        <v>296</v>
      </c>
      <c r="I48" s="93" t="s">
        <v>368</v>
      </c>
      <c r="J48" s="93" t="s">
        <v>380</v>
      </c>
      <c r="K48" s="93" t="s">
        <v>390</v>
      </c>
      <c r="L48" s="93" t="s">
        <v>402</v>
      </c>
      <c r="M48" s="93" t="s">
        <v>424</v>
      </c>
      <c r="N48" s="657" t="s">
        <v>350</v>
      </c>
      <c r="O48" s="94"/>
      <c r="R48" s="100"/>
      <c r="S48" s="142" t="s">
        <v>656</v>
      </c>
      <c r="T48" s="91" t="s">
        <v>83</v>
      </c>
      <c r="U48" s="92" t="s">
        <v>90</v>
      </c>
      <c r="V48" s="93" t="s">
        <v>141</v>
      </c>
      <c r="W48" s="93" t="s">
        <v>246</v>
      </c>
      <c r="X48" s="93" t="s">
        <v>272</v>
      </c>
      <c r="Y48" s="93" t="s">
        <v>296</v>
      </c>
      <c r="Z48" s="93" t="s">
        <v>368</v>
      </c>
      <c r="AA48" s="93" t="s">
        <v>380</v>
      </c>
      <c r="AB48" s="93" t="s">
        <v>390</v>
      </c>
      <c r="AC48" s="93" t="s">
        <v>402</v>
      </c>
      <c r="AD48" s="93" t="s">
        <v>424</v>
      </c>
      <c r="AE48" s="657" t="s">
        <v>350</v>
      </c>
      <c r="AF48" s="94"/>
    </row>
    <row r="49" spans="1:32" ht="55.8" thickBot="1" x14ac:dyDescent="0.35">
      <c r="A49" s="101" t="s">
        <v>740</v>
      </c>
      <c r="B49" s="99" t="s">
        <v>747</v>
      </c>
      <c r="C49" s="102" t="s">
        <v>651</v>
      </c>
      <c r="D49" s="99" t="s">
        <v>743</v>
      </c>
      <c r="E49" s="99" t="s">
        <v>748</v>
      </c>
      <c r="F49" s="99" t="s">
        <v>644</v>
      </c>
      <c r="G49" s="99" t="s">
        <v>749</v>
      </c>
      <c r="H49" s="99" t="s">
        <v>750</v>
      </c>
      <c r="I49" s="99" t="s">
        <v>744</v>
      </c>
      <c r="J49" s="99" t="s">
        <v>745</v>
      </c>
      <c r="K49" s="99" t="s">
        <v>329</v>
      </c>
      <c r="L49" s="99" t="s">
        <v>310</v>
      </c>
      <c r="M49" s="99" t="s">
        <v>675</v>
      </c>
      <c r="N49" s="99" t="s">
        <v>318</v>
      </c>
      <c r="O49" s="103" t="s">
        <v>607</v>
      </c>
      <c r="R49" s="101" t="s">
        <v>740</v>
      </c>
      <c r="S49" s="99" t="s">
        <v>747</v>
      </c>
      <c r="T49" s="102" t="s">
        <v>651</v>
      </c>
      <c r="U49" s="99" t="s">
        <v>743</v>
      </c>
      <c r="V49" s="99" t="s">
        <v>748</v>
      </c>
      <c r="W49" s="99" t="s">
        <v>644</v>
      </c>
      <c r="X49" s="99" t="s">
        <v>749</v>
      </c>
      <c r="Y49" s="99" t="s">
        <v>750</v>
      </c>
      <c r="Z49" s="99" t="s">
        <v>744</v>
      </c>
      <c r="AA49" s="99" t="s">
        <v>745</v>
      </c>
      <c r="AB49" s="99" t="s">
        <v>329</v>
      </c>
      <c r="AC49" s="99" t="s">
        <v>310</v>
      </c>
      <c r="AD49" s="99" t="s">
        <v>675</v>
      </c>
      <c r="AE49" s="99" t="s">
        <v>318</v>
      </c>
      <c r="AF49" s="103" t="s">
        <v>607</v>
      </c>
    </row>
    <row r="50" spans="1:32" s="81" customFormat="1" outlineLevel="1" x14ac:dyDescent="0.3">
      <c r="A50" s="259" t="e">
        <f>ROW(#REF!)</f>
        <v>#REF!</v>
      </c>
      <c r="B50" s="260" t="s">
        <v>774</v>
      </c>
      <c r="C50" s="381"/>
      <c r="D50" s="382"/>
      <c r="E50" s="382"/>
      <c r="F50" s="382"/>
      <c r="G50" s="382"/>
      <c r="H50" s="382"/>
      <c r="I50" s="382"/>
      <c r="J50" s="382"/>
      <c r="K50" s="382"/>
      <c r="L50" s="382">
        <v>500</v>
      </c>
      <c r="M50" s="382">
        <v>0</v>
      </c>
      <c r="N50" s="382"/>
      <c r="O50" s="283">
        <v>500</v>
      </c>
      <c r="R50" s="259">
        <f t="shared" ref="R50:R61" si="6">ROW(A1)</f>
        <v>1</v>
      </c>
      <c r="S50" s="260" t="s">
        <v>774</v>
      </c>
      <c r="T50" s="381"/>
      <c r="U50" s="382"/>
      <c r="V50" s="382"/>
      <c r="W50" s="382"/>
      <c r="X50" s="382"/>
      <c r="Y50" s="382"/>
      <c r="Z50" s="382"/>
      <c r="AA50" s="382"/>
      <c r="AB50" s="382"/>
      <c r="AC50" s="382">
        <v>500</v>
      </c>
      <c r="AD50" s="382">
        <v>0</v>
      </c>
      <c r="AE50" s="382"/>
      <c r="AF50" s="283">
        <f>(T50+U50)-(W50+X50+Z50+AB50+145+AD50)</f>
        <v>-145</v>
      </c>
    </row>
    <row r="51" spans="1:32" s="81" customFormat="1" outlineLevel="1" x14ac:dyDescent="0.3">
      <c r="A51" s="259" t="e">
        <f>ROW(#REF!)</f>
        <v>#REF!</v>
      </c>
      <c r="B51" s="260"/>
      <c r="C51" s="261"/>
      <c r="D51" s="262"/>
      <c r="E51" s="262"/>
      <c r="F51" s="262"/>
      <c r="G51" s="262"/>
      <c r="H51" s="262"/>
      <c r="I51" s="262"/>
      <c r="J51" s="262"/>
      <c r="K51" s="262"/>
      <c r="L51" s="262"/>
      <c r="M51" s="262">
        <v>0</v>
      </c>
      <c r="N51" s="262"/>
      <c r="O51" s="267"/>
      <c r="R51" s="259">
        <f t="shared" si="6"/>
        <v>2</v>
      </c>
      <c r="S51" s="260"/>
      <c r="T51" s="261"/>
      <c r="U51" s="262"/>
      <c r="V51" s="262"/>
      <c r="W51" s="262"/>
      <c r="X51" s="262"/>
      <c r="Y51" s="262"/>
      <c r="Z51" s="262"/>
      <c r="AA51" s="262"/>
      <c r="AB51" s="262"/>
      <c r="AC51" s="262"/>
      <c r="AD51" s="262">
        <v>0</v>
      </c>
      <c r="AE51" s="262"/>
      <c r="AF51" s="267">
        <f>(T51+U51)-(W51+X51+Z51+AB51+AC50+AD51)</f>
        <v>-500</v>
      </c>
    </row>
    <row r="52" spans="1:32" s="81" customFormat="1" outlineLevel="1" x14ac:dyDescent="0.3">
      <c r="A52" s="259" t="e">
        <f>ROW(#REF!)</f>
        <v>#REF!</v>
      </c>
      <c r="B52" s="260"/>
      <c r="C52" s="261"/>
      <c r="D52" s="262"/>
      <c r="E52" s="262"/>
      <c r="F52" s="262"/>
      <c r="G52" s="262"/>
      <c r="H52" s="262"/>
      <c r="I52" s="262"/>
      <c r="J52" s="262"/>
      <c r="K52" s="262"/>
      <c r="L52" s="262"/>
      <c r="M52" s="262">
        <v>0</v>
      </c>
      <c r="N52" s="262"/>
      <c r="O52" s="267"/>
      <c r="R52" s="259">
        <f t="shared" si="6"/>
        <v>3</v>
      </c>
      <c r="S52" s="260"/>
      <c r="T52" s="261"/>
      <c r="U52" s="262"/>
      <c r="V52" s="262"/>
      <c r="W52" s="262"/>
      <c r="X52" s="262"/>
      <c r="Y52" s="262"/>
      <c r="Z52" s="262"/>
      <c r="AA52" s="262"/>
      <c r="AB52" s="262"/>
      <c r="AC52" s="262"/>
      <c r="AD52" s="262">
        <v>0</v>
      </c>
      <c r="AE52" s="262"/>
      <c r="AF52" s="267">
        <f>(T52+U52)-(W52+X52+Z52+AB52+AC52+AD52)</f>
        <v>0</v>
      </c>
    </row>
    <row r="53" spans="1:32" s="81" customFormat="1" outlineLevel="1" x14ac:dyDescent="0.3">
      <c r="A53" s="259" t="e">
        <f>ROW(#REF!)</f>
        <v>#REF!</v>
      </c>
      <c r="B53" s="260"/>
      <c r="C53" s="261"/>
      <c r="D53" s="262"/>
      <c r="E53" s="262"/>
      <c r="F53" s="262"/>
      <c r="G53" s="262"/>
      <c r="H53" s="262"/>
      <c r="I53" s="262"/>
      <c r="J53" s="262"/>
      <c r="K53" s="262"/>
      <c r="L53" s="262"/>
      <c r="M53" s="262"/>
      <c r="N53" s="262"/>
      <c r="O53" s="267"/>
      <c r="R53" s="259">
        <f t="shared" si="6"/>
        <v>4</v>
      </c>
      <c r="S53" s="260"/>
      <c r="T53" s="261"/>
      <c r="U53" s="262"/>
      <c r="V53" s="262"/>
      <c r="W53" s="262"/>
      <c r="X53" s="262"/>
      <c r="Y53" s="262"/>
      <c r="Z53" s="262"/>
      <c r="AA53" s="262"/>
      <c r="AB53" s="262"/>
      <c r="AC53" s="262"/>
      <c r="AD53" s="262"/>
      <c r="AE53" s="262"/>
      <c r="AF53" s="267"/>
    </row>
    <row r="54" spans="1:32" s="81" customFormat="1" outlineLevel="1" x14ac:dyDescent="0.3">
      <c r="A54" s="259" t="e">
        <f>ROW(#REF!)</f>
        <v>#REF!</v>
      </c>
      <c r="B54" s="260"/>
      <c r="C54" s="261"/>
      <c r="D54" s="262"/>
      <c r="E54" s="262"/>
      <c r="F54" s="262"/>
      <c r="G54" s="262"/>
      <c r="H54" s="262"/>
      <c r="I54" s="262"/>
      <c r="J54" s="262"/>
      <c r="K54" s="262"/>
      <c r="L54" s="262"/>
      <c r="M54" s="262"/>
      <c r="N54" s="262"/>
      <c r="O54" s="267"/>
      <c r="R54" s="259">
        <f t="shared" si="6"/>
        <v>5</v>
      </c>
      <c r="S54" s="260"/>
      <c r="T54" s="261"/>
      <c r="U54" s="262"/>
      <c r="V54" s="262"/>
      <c r="W54" s="262"/>
      <c r="X54" s="262"/>
      <c r="Y54" s="262"/>
      <c r="Z54" s="262"/>
      <c r="AA54" s="262"/>
      <c r="AB54" s="262"/>
      <c r="AC54" s="262"/>
      <c r="AD54" s="262"/>
      <c r="AE54" s="262"/>
      <c r="AF54" s="267"/>
    </row>
    <row r="55" spans="1:32" s="81" customFormat="1" outlineLevel="1" x14ac:dyDescent="0.3">
      <c r="A55" s="259" t="e">
        <f>ROW(#REF!)</f>
        <v>#REF!</v>
      </c>
      <c r="B55" s="260"/>
      <c r="C55" s="261"/>
      <c r="D55" s="262"/>
      <c r="E55" s="262"/>
      <c r="F55" s="262"/>
      <c r="G55" s="262"/>
      <c r="H55" s="262"/>
      <c r="I55" s="262"/>
      <c r="J55" s="262"/>
      <c r="K55" s="262"/>
      <c r="L55" s="262"/>
      <c r="M55" s="262"/>
      <c r="N55" s="262"/>
      <c r="O55" s="267"/>
      <c r="R55" s="259">
        <f t="shared" si="6"/>
        <v>6</v>
      </c>
      <c r="S55" s="260"/>
      <c r="T55" s="261"/>
      <c r="U55" s="262"/>
      <c r="V55" s="262"/>
      <c r="W55" s="262"/>
      <c r="X55" s="262"/>
      <c r="Y55" s="262"/>
      <c r="Z55" s="262"/>
      <c r="AA55" s="262"/>
      <c r="AB55" s="262"/>
      <c r="AC55" s="262"/>
      <c r="AD55" s="262"/>
      <c r="AE55" s="262"/>
      <c r="AF55" s="267"/>
    </row>
    <row r="56" spans="1:32" s="81" customFormat="1" outlineLevel="1" x14ac:dyDescent="0.3">
      <c r="A56" s="259" t="e">
        <f>ROW(#REF!)</f>
        <v>#REF!</v>
      </c>
      <c r="B56" s="260"/>
      <c r="C56" s="261"/>
      <c r="D56" s="262"/>
      <c r="E56" s="262"/>
      <c r="F56" s="262"/>
      <c r="G56" s="262"/>
      <c r="H56" s="262"/>
      <c r="I56" s="262"/>
      <c r="J56" s="262"/>
      <c r="K56" s="262"/>
      <c r="L56" s="262"/>
      <c r="M56" s="262"/>
      <c r="N56" s="262"/>
      <c r="O56" s="267"/>
      <c r="R56" s="259">
        <f t="shared" si="6"/>
        <v>7</v>
      </c>
      <c r="S56" s="260"/>
      <c r="T56" s="261"/>
      <c r="U56" s="262"/>
      <c r="V56" s="262"/>
      <c r="W56" s="262"/>
      <c r="X56" s="262"/>
      <c r="Y56" s="262"/>
      <c r="Z56" s="262"/>
      <c r="AA56" s="262"/>
      <c r="AB56" s="262"/>
      <c r="AC56" s="262"/>
      <c r="AD56" s="262"/>
      <c r="AE56" s="262"/>
      <c r="AF56" s="267"/>
    </row>
    <row r="57" spans="1:32" s="81" customFormat="1" outlineLevel="1" x14ac:dyDescent="0.3">
      <c r="A57" s="259" t="e">
        <f>ROW(#REF!)</f>
        <v>#REF!</v>
      </c>
      <c r="B57" s="260"/>
      <c r="C57" s="261"/>
      <c r="D57" s="262"/>
      <c r="E57" s="262"/>
      <c r="F57" s="262"/>
      <c r="G57" s="262"/>
      <c r="H57" s="262"/>
      <c r="I57" s="262"/>
      <c r="J57" s="262"/>
      <c r="K57" s="262"/>
      <c r="L57" s="262"/>
      <c r="M57" s="262"/>
      <c r="N57" s="262"/>
      <c r="O57" s="267"/>
      <c r="R57" s="259">
        <f t="shared" si="6"/>
        <v>8</v>
      </c>
      <c r="S57" s="260"/>
      <c r="T57" s="261"/>
      <c r="U57" s="262"/>
      <c r="V57" s="262"/>
      <c r="W57" s="262"/>
      <c r="X57" s="262"/>
      <c r="Y57" s="262"/>
      <c r="Z57" s="262"/>
      <c r="AA57" s="262"/>
      <c r="AB57" s="262"/>
      <c r="AC57" s="262"/>
      <c r="AD57" s="262"/>
      <c r="AE57" s="262"/>
      <c r="AF57" s="267"/>
    </row>
    <row r="58" spans="1:32" s="81" customFormat="1" outlineLevel="1" x14ac:dyDescent="0.3">
      <c r="A58" s="259" t="e">
        <f>ROW(#REF!)</f>
        <v>#REF!</v>
      </c>
      <c r="B58" s="260"/>
      <c r="C58" s="261"/>
      <c r="D58" s="262"/>
      <c r="E58" s="262"/>
      <c r="F58" s="262"/>
      <c r="G58" s="262"/>
      <c r="H58" s="262"/>
      <c r="I58" s="262"/>
      <c r="J58" s="262"/>
      <c r="K58" s="262"/>
      <c r="L58" s="262"/>
      <c r="M58" s="262"/>
      <c r="N58" s="262"/>
      <c r="O58" s="267"/>
      <c r="R58" s="259">
        <f t="shared" si="6"/>
        <v>9</v>
      </c>
      <c r="S58" s="260"/>
      <c r="T58" s="261"/>
      <c r="U58" s="262"/>
      <c r="V58" s="262"/>
      <c r="W58" s="262"/>
      <c r="X58" s="262"/>
      <c r="Y58" s="262"/>
      <c r="Z58" s="262"/>
      <c r="AA58" s="262"/>
      <c r="AB58" s="262"/>
      <c r="AC58" s="262"/>
      <c r="AD58" s="262"/>
      <c r="AE58" s="262"/>
      <c r="AF58" s="267"/>
    </row>
    <row r="59" spans="1:32" s="81" customFormat="1" outlineLevel="1" x14ac:dyDescent="0.3">
      <c r="A59" s="259" t="e">
        <f>ROW(#REF!)</f>
        <v>#REF!</v>
      </c>
      <c r="B59" s="260"/>
      <c r="C59" s="261"/>
      <c r="D59" s="262"/>
      <c r="E59" s="262"/>
      <c r="F59" s="262"/>
      <c r="G59" s="262"/>
      <c r="H59" s="262"/>
      <c r="I59" s="262"/>
      <c r="J59" s="262"/>
      <c r="K59" s="262"/>
      <c r="L59" s="262"/>
      <c r="M59" s="262"/>
      <c r="N59" s="262"/>
      <c r="O59" s="267"/>
      <c r="R59" s="259">
        <f t="shared" si="6"/>
        <v>10</v>
      </c>
      <c r="S59" s="260"/>
      <c r="T59" s="261"/>
      <c r="U59" s="262"/>
      <c r="V59" s="262"/>
      <c r="W59" s="262"/>
      <c r="X59" s="262"/>
      <c r="Y59" s="262"/>
      <c r="Z59" s="262"/>
      <c r="AA59" s="262"/>
      <c r="AB59" s="262"/>
      <c r="AC59" s="262"/>
      <c r="AD59" s="262"/>
      <c r="AE59" s="262"/>
      <c r="AF59" s="267"/>
    </row>
    <row r="60" spans="1:32" s="81" customFormat="1" outlineLevel="1" x14ac:dyDescent="0.3">
      <c r="A60" s="259" t="e">
        <f>ROW(#REF!)</f>
        <v>#REF!</v>
      </c>
      <c r="B60" s="260"/>
      <c r="C60" s="261"/>
      <c r="D60" s="262"/>
      <c r="E60" s="262"/>
      <c r="F60" s="262"/>
      <c r="G60" s="262"/>
      <c r="H60" s="262"/>
      <c r="I60" s="262"/>
      <c r="J60" s="262"/>
      <c r="K60" s="262"/>
      <c r="L60" s="262"/>
      <c r="M60" s="262"/>
      <c r="N60" s="262"/>
      <c r="O60" s="267"/>
      <c r="R60" s="259">
        <f t="shared" si="6"/>
        <v>11</v>
      </c>
      <c r="S60" s="260"/>
      <c r="T60" s="261"/>
      <c r="U60" s="262"/>
      <c r="V60" s="262"/>
      <c r="W60" s="262"/>
      <c r="X60" s="262"/>
      <c r="Y60" s="262"/>
      <c r="Z60" s="262"/>
      <c r="AA60" s="262"/>
      <c r="AB60" s="262"/>
      <c r="AC60" s="262"/>
      <c r="AD60" s="262"/>
      <c r="AE60" s="262"/>
      <c r="AF60" s="267"/>
    </row>
    <row r="61" spans="1:32" s="81" customFormat="1" ht="15" outlineLevel="1" thickBot="1" x14ac:dyDescent="0.35">
      <c r="A61" s="259" t="e">
        <f>ROW(#REF!)</f>
        <v>#REF!</v>
      </c>
      <c r="B61" s="264" t="s">
        <v>606</v>
      </c>
      <c r="C61" s="270">
        <v>0</v>
      </c>
      <c r="D61" s="271">
        <v>0</v>
      </c>
      <c r="E61" s="271">
        <v>50</v>
      </c>
      <c r="F61" s="271">
        <v>300</v>
      </c>
      <c r="G61" s="271">
        <v>0</v>
      </c>
      <c r="H61" s="271">
        <v>0</v>
      </c>
      <c r="I61" s="271">
        <v>0</v>
      </c>
      <c r="J61" s="271">
        <v>0</v>
      </c>
      <c r="K61" s="271">
        <v>0</v>
      </c>
      <c r="L61" s="271">
        <v>500</v>
      </c>
      <c r="M61" s="271">
        <v>500</v>
      </c>
      <c r="N61" s="658">
        <v>0</v>
      </c>
      <c r="O61" s="658">
        <v>2000</v>
      </c>
      <c r="R61" s="259">
        <f t="shared" si="6"/>
        <v>12</v>
      </c>
      <c r="S61" s="264" t="s">
        <v>606</v>
      </c>
      <c r="T61" s="270">
        <v>0</v>
      </c>
      <c r="U61" s="271">
        <v>0</v>
      </c>
      <c r="V61" s="127">
        <v>500</v>
      </c>
      <c r="W61" s="127">
        <v>300</v>
      </c>
      <c r="X61" s="127">
        <v>200</v>
      </c>
      <c r="Y61" s="127">
        <v>200</v>
      </c>
      <c r="Z61" s="127">
        <v>300</v>
      </c>
      <c r="AA61" s="127">
        <v>100</v>
      </c>
      <c r="AB61" s="127">
        <v>200</v>
      </c>
      <c r="AC61" s="127">
        <v>500</v>
      </c>
      <c r="AD61" s="127">
        <v>500</v>
      </c>
      <c r="AE61" s="658">
        <v>2000</v>
      </c>
      <c r="AF61" s="658">
        <v>2000</v>
      </c>
    </row>
    <row r="62" spans="1:32" ht="23.25" customHeight="1" thickBot="1" x14ac:dyDescent="0.35">
      <c r="A62" s="106"/>
      <c r="B62" s="107" t="s">
        <v>697</v>
      </c>
      <c r="C62" s="272">
        <f>SUBTOTAL(9,Tabelle5132454[Teilnahmebeiträge Veranstaltungen])</f>
        <v>0</v>
      </c>
      <c r="D62" s="386">
        <f>SUBTOTAL(9,Tabelle5132454[Sonstige Einnahmen])</f>
        <v>0</v>
      </c>
      <c r="E62" s="387">
        <f>SUBTOTAL(9,Tabelle5132454[Aufwandsentschädigungen])</f>
        <v>50</v>
      </c>
      <c r="F62" s="387">
        <f>SUBTOTAL(9,Tabelle5132454[Interne Reisekosten])</f>
        <v>300</v>
      </c>
      <c r="G62" s="387">
        <f>SUBTOTAL(9,Tabelle5132454[Raum + Unterkunft intern])</f>
        <v>0</v>
      </c>
      <c r="H62" s="387">
        <f>SUBTOTAL(9,Tabelle5132454[Repräsentation/Bewirtung intern])</f>
        <v>0</v>
      </c>
      <c r="I62" s="387">
        <f>SUBTOTAL(9,Tabelle5132454[Repräsentation/Bewirtung extern])</f>
        <v>0</v>
      </c>
      <c r="J62" s="387">
        <f>SUBTOTAL(9,Tabelle5132454[Raum + Unterkunft extern])</f>
        <v>0</v>
      </c>
      <c r="K62" s="387">
        <f>SUBTOTAL(9,Tabelle5132454[Druckkosten])</f>
        <v>0</v>
      </c>
      <c r="L62" s="387">
        <f>SUBTOTAL(9,Tabelle5132454[Sonstige Kosten])</f>
        <v>1000</v>
      </c>
      <c r="M62" s="387">
        <f>SUBTOTAL(9,Tabelle5132454[Rechtsangelegenheiten])</f>
        <v>500</v>
      </c>
      <c r="N62" s="387">
        <f>SUBTOTAL(109,Tabelle5132454[Andere Honorare])</f>
        <v>0</v>
      </c>
      <c r="O62" s="673">
        <f>SUBTOTAL(9,Tabelle5132454[Gesamt])</f>
        <v>2500</v>
      </c>
      <c r="R62" s="106"/>
      <c r="S62" s="107" t="s">
        <v>697</v>
      </c>
      <c r="T62" s="272">
        <f>SUBTOTAL(9,Tabelle51324[Teilnahmebeiträge Veranstaltungen])</f>
        <v>0</v>
      </c>
      <c r="U62" s="386">
        <f>SUBTOTAL(9,Tabelle51324[Sonstige Einnahmen])</f>
        <v>0</v>
      </c>
      <c r="V62" s="387">
        <f>SUBTOTAL(9,Tabelle51324[Aufwandsentschädigungen])</f>
        <v>500</v>
      </c>
      <c r="W62" s="387">
        <f>SUBTOTAL(9,Tabelle51324[Interne Reisekosten])</f>
        <v>300</v>
      </c>
      <c r="X62" s="387">
        <f>SUBTOTAL(9,Tabelle51324[Raum + Unterkunft intern])</f>
        <v>200</v>
      </c>
      <c r="Y62" s="387">
        <f>SUBTOTAL(9,Tabelle51324[Repräsentation/Bewirtung intern])</f>
        <v>200</v>
      </c>
      <c r="Z62" s="387">
        <f>SUBTOTAL(9,Tabelle51324[Repräsentation/Bewirtung extern])</f>
        <v>300</v>
      </c>
      <c r="AA62" s="387">
        <f>SUBTOTAL(9,Tabelle51324[Raum + Unterkunft extern])</f>
        <v>100</v>
      </c>
      <c r="AB62" s="387">
        <f>SUBTOTAL(9,Tabelle51324[Druckkosten])</f>
        <v>200</v>
      </c>
      <c r="AC62" s="387">
        <f>SUBTOTAL(9,Tabelle51324[Sonstige Kosten])</f>
        <v>1000</v>
      </c>
      <c r="AD62" s="387">
        <f>SUBTOTAL(9,Tabelle51324[Rechtsangelegenheiten])</f>
        <v>500</v>
      </c>
      <c r="AE62" s="387">
        <f>SUBTOTAL(109,Tabelle51324[Andere Honorare])</f>
        <v>2000</v>
      </c>
      <c r="AF62" s="673">
        <f>SUBTOTAL(9,Tabelle51324[Gesamt])</f>
        <v>1355</v>
      </c>
    </row>
    <row r="63" spans="1:32" ht="18" x14ac:dyDescent="0.35">
      <c r="A63" s="11"/>
      <c r="R63" s="11"/>
    </row>
    <row r="64" spans="1:32" ht="15.6" x14ac:dyDescent="0.3">
      <c r="A64" s="7"/>
      <c r="B64" s="7" t="s">
        <v>755</v>
      </c>
      <c r="D64" s="6" t="s">
        <v>739</v>
      </c>
      <c r="R64" s="7"/>
      <c r="S64" s="7" t="s">
        <v>755</v>
      </c>
      <c r="U64" s="6" t="s">
        <v>739</v>
      </c>
    </row>
    <row r="65" spans="1:26" ht="18.600000000000001" thickBot="1" x14ac:dyDescent="0.4">
      <c r="A65" s="11"/>
      <c r="R65" s="11"/>
    </row>
    <row r="66" spans="1:26" ht="15.6" thickTop="1" thickBot="1" x14ac:dyDescent="0.35">
      <c r="A66" s="108"/>
      <c r="B66" s="140"/>
      <c r="C66" s="141"/>
      <c r="D66" s="144" t="s">
        <v>656</v>
      </c>
      <c r="E66" s="109" t="s">
        <v>136</v>
      </c>
      <c r="F66" s="110" t="s">
        <v>242</v>
      </c>
      <c r="G66" s="110" t="s">
        <v>266</v>
      </c>
      <c r="H66" s="110" t="s">
        <v>292</v>
      </c>
      <c r="I66" s="111"/>
      <c r="R66" s="108"/>
      <c r="S66" s="140"/>
      <c r="T66" s="141"/>
      <c r="U66" s="144" t="s">
        <v>656</v>
      </c>
      <c r="V66" s="109" t="s">
        <v>136</v>
      </c>
      <c r="W66" s="110" t="s">
        <v>242</v>
      </c>
      <c r="X66" s="110" t="s">
        <v>266</v>
      </c>
      <c r="Y66" s="110" t="s">
        <v>292</v>
      </c>
      <c r="Z66" s="111"/>
    </row>
    <row r="67" spans="1:26" ht="42" thickBot="1" x14ac:dyDescent="0.35">
      <c r="A67" s="112" t="s">
        <v>756</v>
      </c>
      <c r="B67" s="112" t="s">
        <v>757</v>
      </c>
      <c r="C67" s="143" t="s">
        <v>758</v>
      </c>
      <c r="D67" s="112" t="s">
        <v>533</v>
      </c>
      <c r="E67" s="375" t="s">
        <v>748</v>
      </c>
      <c r="F67" s="376" t="s">
        <v>644</v>
      </c>
      <c r="G67" s="376" t="s">
        <v>749</v>
      </c>
      <c r="H67" s="376" t="s">
        <v>750</v>
      </c>
      <c r="I67" s="377" t="s">
        <v>607</v>
      </c>
      <c r="R67" s="112" t="s">
        <v>756</v>
      </c>
      <c r="S67" s="112" t="s">
        <v>757</v>
      </c>
      <c r="T67" s="143" t="s">
        <v>758</v>
      </c>
      <c r="U67" s="112" t="s">
        <v>533</v>
      </c>
      <c r="V67" s="375" t="s">
        <v>748</v>
      </c>
      <c r="W67" s="376" t="s">
        <v>644</v>
      </c>
      <c r="X67" s="376" t="s">
        <v>749</v>
      </c>
      <c r="Y67" s="376" t="s">
        <v>750</v>
      </c>
      <c r="Z67" s="377" t="s">
        <v>607</v>
      </c>
    </row>
    <row r="68" spans="1:26" s="81" customFormat="1" ht="55.8" outlineLevel="1" thickBot="1" x14ac:dyDescent="0.35">
      <c r="A68" s="263" t="e">
        <f>ROW(#REF!)</f>
        <v>#REF!</v>
      </c>
      <c r="B68" s="296" t="s">
        <v>1245</v>
      </c>
      <c r="C68" s="98"/>
      <c r="D68" s="296" t="s">
        <v>770</v>
      </c>
      <c r="E68" s="383"/>
      <c r="F68" s="288"/>
      <c r="G68" s="288"/>
      <c r="H68" s="288"/>
      <c r="I68" s="283">
        <f t="shared" ref="I68:I76" si="7">SUM(E68:H68)</f>
        <v>0</v>
      </c>
      <c r="R68" s="263">
        <f t="shared" ref="R68:R84" si="8">ROW(A1)</f>
        <v>1</v>
      </c>
      <c r="S68" s="296" t="s">
        <v>1245</v>
      </c>
      <c r="T68" s="98"/>
      <c r="U68" s="296" t="s">
        <v>770</v>
      </c>
      <c r="V68" s="383"/>
      <c r="W68" s="288"/>
      <c r="X68" s="288"/>
      <c r="Y68" s="288"/>
      <c r="Z68" s="283">
        <f t="shared" ref="Z68:Z75" si="9">SUM(V68:Y68)</f>
        <v>0</v>
      </c>
    </row>
    <row r="69" spans="1:26" s="81" customFormat="1" outlineLevel="1" x14ac:dyDescent="0.3">
      <c r="A69" s="263" t="e">
        <f>ROW(#REF!)</f>
        <v>#REF!</v>
      </c>
      <c r="B69" s="260" t="s">
        <v>769</v>
      </c>
      <c r="C69" s="263"/>
      <c r="D69" s="263" t="s">
        <v>770</v>
      </c>
      <c r="E69" s="381">
        <v>300</v>
      </c>
      <c r="F69" s="382">
        <v>0</v>
      </c>
      <c r="G69" s="382">
        <v>0</v>
      </c>
      <c r="H69" s="382">
        <v>0</v>
      </c>
      <c r="I69" s="267">
        <f t="shared" si="7"/>
        <v>300</v>
      </c>
      <c r="R69" s="263">
        <f t="shared" si="8"/>
        <v>2</v>
      </c>
      <c r="S69" s="260" t="s">
        <v>769</v>
      </c>
      <c r="T69" s="263"/>
      <c r="U69" s="263" t="s">
        <v>770</v>
      </c>
      <c r="V69" s="261">
        <f>5*20+2*40</f>
        <v>180</v>
      </c>
      <c r="W69" s="262">
        <v>0</v>
      </c>
      <c r="X69" s="262">
        <v>0</v>
      </c>
      <c r="Y69" s="262">
        <v>0</v>
      </c>
      <c r="Z69" s="267">
        <f t="shared" si="9"/>
        <v>180</v>
      </c>
    </row>
    <row r="70" spans="1:26" s="81" customFormat="1" outlineLevel="1" x14ac:dyDescent="0.3">
      <c r="A70" s="263" t="e">
        <f>ROW(#REF!)</f>
        <v>#REF!</v>
      </c>
      <c r="B70" s="260" t="s">
        <v>769</v>
      </c>
      <c r="C70" s="263"/>
      <c r="D70" s="263" t="s">
        <v>770</v>
      </c>
      <c r="E70" s="261">
        <v>300</v>
      </c>
      <c r="F70" s="262">
        <v>0</v>
      </c>
      <c r="G70" s="262">
        <v>0</v>
      </c>
      <c r="H70" s="262">
        <v>0</v>
      </c>
      <c r="I70" s="267">
        <f t="shared" si="7"/>
        <v>300</v>
      </c>
      <c r="R70" s="263">
        <f t="shared" si="8"/>
        <v>3</v>
      </c>
      <c r="S70" s="260" t="s">
        <v>769</v>
      </c>
      <c r="T70" s="263"/>
      <c r="U70" s="263" t="s">
        <v>770</v>
      </c>
      <c r="V70" s="261">
        <f>5*20+2*40</f>
        <v>180</v>
      </c>
      <c r="W70" s="262">
        <v>0</v>
      </c>
      <c r="X70" s="262">
        <v>0</v>
      </c>
      <c r="Y70" s="262">
        <v>0</v>
      </c>
      <c r="Z70" s="267">
        <f t="shared" si="9"/>
        <v>180</v>
      </c>
    </row>
    <row r="71" spans="1:26" s="81" customFormat="1" ht="41.4" outlineLevel="1" x14ac:dyDescent="0.3">
      <c r="A71" s="263" t="e">
        <f>ROW(#REF!)</f>
        <v>#REF!</v>
      </c>
      <c r="B71" s="275" t="s">
        <v>775</v>
      </c>
      <c r="C71" s="263"/>
      <c r="D71" s="263" t="s">
        <v>770</v>
      </c>
      <c r="E71" s="261">
        <v>400</v>
      </c>
      <c r="F71" s="262">
        <v>0</v>
      </c>
      <c r="G71" s="262">
        <v>0</v>
      </c>
      <c r="H71" s="262">
        <v>0</v>
      </c>
      <c r="I71" s="267">
        <f t="shared" si="7"/>
        <v>400</v>
      </c>
      <c r="R71" s="263">
        <f t="shared" si="8"/>
        <v>4</v>
      </c>
      <c r="S71" s="275" t="s">
        <v>775</v>
      </c>
      <c r="T71" s="263"/>
      <c r="U71" s="263" t="s">
        <v>770</v>
      </c>
      <c r="V71" s="261">
        <v>400</v>
      </c>
      <c r="W71" s="262">
        <v>0</v>
      </c>
      <c r="X71" s="262">
        <v>0</v>
      </c>
      <c r="Y71" s="262">
        <v>0</v>
      </c>
      <c r="Z71" s="267">
        <f t="shared" si="9"/>
        <v>400</v>
      </c>
    </row>
    <row r="72" spans="1:26" s="81" customFormat="1" outlineLevel="1" x14ac:dyDescent="0.3">
      <c r="A72" s="263" t="e">
        <f>ROW(#REF!)</f>
        <v>#REF!</v>
      </c>
      <c r="B72" s="260" t="s">
        <v>769</v>
      </c>
      <c r="C72" s="263"/>
      <c r="D72" s="263" t="s">
        <v>770</v>
      </c>
      <c r="E72" s="261">
        <v>300</v>
      </c>
      <c r="F72" s="262">
        <v>0</v>
      </c>
      <c r="G72" s="262">
        <v>0</v>
      </c>
      <c r="H72" s="262">
        <v>0</v>
      </c>
      <c r="I72" s="267">
        <f t="shared" si="7"/>
        <v>300</v>
      </c>
      <c r="R72" s="263">
        <f t="shared" si="8"/>
        <v>5</v>
      </c>
      <c r="S72" s="260" t="s">
        <v>769</v>
      </c>
      <c r="T72" s="263"/>
      <c r="U72" s="263" t="s">
        <v>770</v>
      </c>
      <c r="V72" s="261">
        <f>5*20+2*40</f>
        <v>180</v>
      </c>
      <c r="W72" s="262">
        <v>0</v>
      </c>
      <c r="X72" s="262">
        <v>0</v>
      </c>
      <c r="Y72" s="262">
        <v>0</v>
      </c>
      <c r="Z72" s="267">
        <f t="shared" si="9"/>
        <v>180</v>
      </c>
    </row>
    <row r="73" spans="1:26" s="81" customFormat="1" outlineLevel="1" x14ac:dyDescent="0.3">
      <c r="A73" s="263" t="e">
        <f>ROW(#REF!)</f>
        <v>#REF!</v>
      </c>
      <c r="B73" s="260" t="s">
        <v>769</v>
      </c>
      <c r="C73" s="263"/>
      <c r="D73" s="263" t="s">
        <v>770</v>
      </c>
      <c r="E73" s="261">
        <v>300</v>
      </c>
      <c r="F73" s="262">
        <v>0</v>
      </c>
      <c r="G73" s="262"/>
      <c r="H73" s="262">
        <v>0</v>
      </c>
      <c r="I73" s="267">
        <f t="shared" si="7"/>
        <v>300</v>
      </c>
      <c r="R73" s="263">
        <f t="shared" si="8"/>
        <v>6</v>
      </c>
      <c r="S73" s="260" t="s">
        <v>769</v>
      </c>
      <c r="T73" s="263"/>
      <c r="U73" s="263" t="s">
        <v>770</v>
      </c>
      <c r="V73" s="261">
        <f>5*20+2*40</f>
        <v>180</v>
      </c>
      <c r="W73" s="262">
        <v>0</v>
      </c>
      <c r="X73" s="262"/>
      <c r="Y73" s="262">
        <v>0</v>
      </c>
      <c r="Z73" s="267">
        <f t="shared" si="9"/>
        <v>180</v>
      </c>
    </row>
    <row r="74" spans="1:26" s="81" customFormat="1" outlineLevel="1" x14ac:dyDescent="0.3">
      <c r="A74" s="263" t="e">
        <f>ROW(#REF!)</f>
        <v>#REF!</v>
      </c>
      <c r="B74" s="260" t="s">
        <v>769</v>
      </c>
      <c r="C74" s="263"/>
      <c r="D74" s="263" t="s">
        <v>764</v>
      </c>
      <c r="E74" s="261">
        <v>700</v>
      </c>
      <c r="F74" s="262">
        <v>800</v>
      </c>
      <c r="G74" s="262">
        <v>300</v>
      </c>
      <c r="H74" s="262">
        <v>50</v>
      </c>
      <c r="I74" s="267">
        <f t="shared" si="7"/>
        <v>1850</v>
      </c>
      <c r="R74" s="263">
        <f t="shared" si="8"/>
        <v>7</v>
      </c>
      <c r="S74" s="260" t="s">
        <v>769</v>
      </c>
      <c r="T74" s="263"/>
      <c r="U74" s="263" t="s">
        <v>764</v>
      </c>
      <c r="V74" s="261">
        <v>700</v>
      </c>
      <c r="W74" s="262">
        <v>800</v>
      </c>
      <c r="X74" s="262">
        <v>300</v>
      </c>
      <c r="Y74" s="262">
        <v>50</v>
      </c>
      <c r="Z74" s="267">
        <f t="shared" si="9"/>
        <v>1850</v>
      </c>
    </row>
    <row r="75" spans="1:26" s="81" customFormat="1" outlineLevel="1" x14ac:dyDescent="0.3">
      <c r="A75" s="263" t="e">
        <f>ROW(#REF!)</f>
        <v>#REF!</v>
      </c>
      <c r="B75" s="260" t="s">
        <v>769</v>
      </c>
      <c r="C75" s="263"/>
      <c r="D75" s="263" t="s">
        <v>770</v>
      </c>
      <c r="E75" s="261">
        <v>300</v>
      </c>
      <c r="F75" s="262"/>
      <c r="G75" s="262"/>
      <c r="H75" s="262"/>
      <c r="I75" s="267">
        <f t="shared" si="7"/>
        <v>300</v>
      </c>
      <c r="R75" s="263">
        <f t="shared" si="8"/>
        <v>8</v>
      </c>
      <c r="S75" s="260" t="s">
        <v>769</v>
      </c>
      <c r="T75" s="263"/>
      <c r="U75" s="263" t="s">
        <v>770</v>
      </c>
      <c r="V75" s="261">
        <f>5*20+2*40</f>
        <v>180</v>
      </c>
      <c r="W75" s="262"/>
      <c r="X75" s="262"/>
      <c r="Y75" s="262"/>
      <c r="Z75" s="267">
        <f t="shared" si="9"/>
        <v>180</v>
      </c>
    </row>
    <row r="76" spans="1:26" s="81" customFormat="1" outlineLevel="1" x14ac:dyDescent="0.3">
      <c r="A76" s="263" t="e">
        <f>ROW(#REF!)</f>
        <v>#REF!</v>
      </c>
      <c r="B76" s="260" t="s">
        <v>776</v>
      </c>
      <c r="C76" s="263"/>
      <c r="D76" s="263" t="s">
        <v>764</v>
      </c>
      <c r="E76" s="261">
        <v>1000</v>
      </c>
      <c r="F76" s="262">
        <v>500</v>
      </c>
      <c r="G76" s="262">
        <v>600</v>
      </c>
      <c r="H76" s="262">
        <v>100</v>
      </c>
      <c r="I76" s="267">
        <f t="shared" si="7"/>
        <v>2200</v>
      </c>
      <c r="R76" s="263">
        <f t="shared" si="8"/>
        <v>9</v>
      </c>
      <c r="S76" s="260" t="s">
        <v>776</v>
      </c>
      <c r="T76" s="263"/>
      <c r="U76" s="263" t="s">
        <v>764</v>
      </c>
      <c r="V76" s="261">
        <v>1000</v>
      </c>
      <c r="W76" s="262">
        <v>500</v>
      </c>
      <c r="X76" s="262">
        <v>600</v>
      </c>
      <c r="Y76" s="262">
        <v>100</v>
      </c>
      <c r="Z76" s="267"/>
    </row>
    <row r="77" spans="1:26" s="81" customFormat="1" outlineLevel="1" x14ac:dyDescent="0.3">
      <c r="A77" s="263" t="e">
        <f>ROW(#REF!)</f>
        <v>#REF!</v>
      </c>
      <c r="B77" s="260"/>
      <c r="C77" s="263"/>
      <c r="D77" s="263"/>
      <c r="E77" s="261"/>
      <c r="F77" s="262"/>
      <c r="G77" s="262"/>
      <c r="H77" s="262"/>
      <c r="I77" s="267"/>
      <c r="R77" s="263">
        <f t="shared" si="8"/>
        <v>10</v>
      </c>
      <c r="S77" s="260"/>
      <c r="T77" s="263"/>
      <c r="U77" s="263"/>
      <c r="V77" s="261"/>
      <c r="W77" s="262"/>
      <c r="X77" s="262"/>
      <c r="Y77" s="262"/>
      <c r="Z77" s="267"/>
    </row>
    <row r="78" spans="1:26" s="81" customFormat="1" outlineLevel="1" x14ac:dyDescent="0.3">
      <c r="A78" s="263" t="e">
        <f>ROW(#REF!)</f>
        <v>#REF!</v>
      </c>
      <c r="B78" s="260"/>
      <c r="C78" s="263"/>
      <c r="D78" s="263"/>
      <c r="E78" s="261"/>
      <c r="F78" s="262"/>
      <c r="G78" s="262"/>
      <c r="H78" s="262"/>
      <c r="I78" s="267"/>
      <c r="R78" s="263">
        <f t="shared" si="8"/>
        <v>11</v>
      </c>
      <c r="S78" s="260"/>
      <c r="T78" s="263"/>
      <c r="U78" s="263"/>
      <c r="V78" s="261"/>
      <c r="W78" s="262"/>
      <c r="X78" s="262"/>
      <c r="Y78" s="262"/>
      <c r="Z78" s="267"/>
    </row>
    <row r="79" spans="1:26" s="81" customFormat="1" outlineLevel="1" x14ac:dyDescent="0.3">
      <c r="A79" s="263" t="e">
        <f>ROW(#REF!)</f>
        <v>#REF!</v>
      </c>
      <c r="B79" s="260"/>
      <c r="C79" s="263"/>
      <c r="D79" s="263"/>
      <c r="E79" s="261"/>
      <c r="F79" s="262"/>
      <c r="G79" s="262"/>
      <c r="H79" s="262"/>
      <c r="I79" s="267"/>
      <c r="R79" s="263">
        <f t="shared" si="8"/>
        <v>12</v>
      </c>
      <c r="S79" s="260"/>
      <c r="T79" s="263"/>
      <c r="U79" s="263"/>
      <c r="V79" s="261"/>
      <c r="W79" s="262"/>
      <c r="X79" s="262"/>
      <c r="Y79" s="262"/>
      <c r="Z79" s="267"/>
    </row>
    <row r="80" spans="1:26" s="81" customFormat="1" outlineLevel="1" x14ac:dyDescent="0.3">
      <c r="A80" s="263" t="e">
        <f>ROW(#REF!)</f>
        <v>#REF!</v>
      </c>
      <c r="B80" s="260"/>
      <c r="C80" s="263"/>
      <c r="D80" s="263"/>
      <c r="E80" s="261"/>
      <c r="F80" s="262"/>
      <c r="G80" s="262"/>
      <c r="H80" s="262"/>
      <c r="I80" s="267"/>
      <c r="R80" s="263">
        <f t="shared" si="8"/>
        <v>13</v>
      </c>
      <c r="S80" s="260"/>
      <c r="T80" s="263"/>
      <c r="U80" s="263"/>
      <c r="V80" s="261"/>
      <c r="W80" s="262"/>
      <c r="X80" s="262"/>
      <c r="Y80" s="262"/>
      <c r="Z80" s="267"/>
    </row>
    <row r="81" spans="1:26" s="81" customFormat="1" outlineLevel="1" x14ac:dyDescent="0.3">
      <c r="A81" s="263" t="e">
        <f>ROW(#REF!)</f>
        <v>#REF!</v>
      </c>
      <c r="B81" s="260"/>
      <c r="C81" s="263"/>
      <c r="D81" s="263"/>
      <c r="E81" s="261"/>
      <c r="F81" s="262"/>
      <c r="G81" s="262"/>
      <c r="H81" s="262"/>
      <c r="I81" s="267">
        <f>SUM(E81:H81)</f>
        <v>0</v>
      </c>
      <c r="R81" s="263">
        <f t="shared" si="8"/>
        <v>14</v>
      </c>
      <c r="S81" s="260"/>
      <c r="T81" s="263"/>
      <c r="U81" s="263"/>
      <c r="V81" s="261"/>
      <c r="W81" s="262"/>
      <c r="X81" s="262"/>
      <c r="Y81" s="262"/>
      <c r="Z81" s="267">
        <f>SUM(V81:Y81)</f>
        <v>0</v>
      </c>
    </row>
    <row r="82" spans="1:26" s="81" customFormat="1" outlineLevel="1" x14ac:dyDescent="0.3">
      <c r="A82" s="263" t="e">
        <f>ROW(#REF!)</f>
        <v>#REF!</v>
      </c>
      <c r="B82" s="260"/>
      <c r="C82" s="263"/>
      <c r="D82" s="263"/>
      <c r="E82" s="261"/>
      <c r="F82" s="262"/>
      <c r="G82" s="262"/>
      <c r="H82" s="262"/>
      <c r="I82" s="267">
        <f>SUM(E82:H82)</f>
        <v>0</v>
      </c>
      <c r="R82" s="263">
        <f t="shared" si="8"/>
        <v>15</v>
      </c>
      <c r="S82" s="260"/>
      <c r="T82" s="263"/>
      <c r="U82" s="263"/>
      <c r="V82" s="261"/>
      <c r="W82" s="262"/>
      <c r="X82" s="262"/>
      <c r="Y82" s="262"/>
      <c r="Z82" s="267">
        <f>SUM(V82:Y82)</f>
        <v>0</v>
      </c>
    </row>
    <row r="83" spans="1:26" outlineLevel="1" x14ac:dyDescent="0.3">
      <c r="A83" s="98" t="e">
        <f>ROW(#REF!)</f>
        <v>#REF!</v>
      </c>
      <c r="B83" s="113" t="s">
        <v>765</v>
      </c>
      <c r="C83" s="113"/>
      <c r="D83" s="113"/>
      <c r="E83" s="128">
        <f>Tabelle5132454[[#Totals],[Aufwandsentschädigungen]]</f>
        <v>50</v>
      </c>
      <c r="F83" s="129">
        <f>Tabelle5132454[[#Totals],[Interne Reisekosten]]</f>
        <v>300</v>
      </c>
      <c r="G83" s="129">
        <f>Tabelle5132454[[#Totals],[Raum + Unterkunft intern]]</f>
        <v>0</v>
      </c>
      <c r="H83" s="129">
        <f>Tabelle5132454[[#Totals],[Repräsentation/Bewirtung intern]]</f>
        <v>0</v>
      </c>
      <c r="I83" s="268">
        <f>SUM(E83:H83)</f>
        <v>350</v>
      </c>
      <c r="R83" s="98">
        <f t="shared" si="8"/>
        <v>16</v>
      </c>
      <c r="S83" s="113" t="s">
        <v>765</v>
      </c>
      <c r="T83" s="113"/>
      <c r="U83" s="113"/>
      <c r="V83" s="128">
        <f>Tabelle51324[[#Totals],[Aufwandsentschädigungen]]</f>
        <v>500</v>
      </c>
      <c r="W83" s="129">
        <f>Tabelle51324[[#Totals],[Interne Reisekosten]]</f>
        <v>300</v>
      </c>
      <c r="X83" s="129">
        <f>Tabelle51324[[#Totals],[Raum + Unterkunft intern]]</f>
        <v>200</v>
      </c>
      <c r="Y83" s="129">
        <f>Tabelle51324[[#Totals],[Repräsentation/Bewirtung intern]]</f>
        <v>200</v>
      </c>
      <c r="Z83" s="268">
        <f>SUM(V83:Y83)</f>
        <v>1200</v>
      </c>
    </row>
    <row r="84" spans="1:26" s="81" customFormat="1" ht="15.75" customHeight="1" outlineLevel="1" thickBot="1" x14ac:dyDescent="0.35">
      <c r="A84" s="263" t="e">
        <f>ROW(#REF!)</f>
        <v>#REF!</v>
      </c>
      <c r="B84" s="264" t="s">
        <v>606</v>
      </c>
      <c r="C84" s="264"/>
      <c r="D84" s="264" t="s">
        <v>766</v>
      </c>
      <c r="E84" s="265">
        <v>1000</v>
      </c>
      <c r="F84" s="266">
        <v>1000</v>
      </c>
      <c r="G84" s="266">
        <v>500</v>
      </c>
      <c r="H84" s="266">
        <v>50</v>
      </c>
      <c r="I84" s="269">
        <f>SUM(E84:H84)</f>
        <v>2550</v>
      </c>
      <c r="R84" s="263">
        <f t="shared" si="8"/>
        <v>17</v>
      </c>
      <c r="S84" s="264" t="s">
        <v>606</v>
      </c>
      <c r="T84" s="264"/>
      <c r="U84" s="264" t="s">
        <v>766</v>
      </c>
      <c r="V84" s="265">
        <v>1000</v>
      </c>
      <c r="W84" s="266">
        <v>1000</v>
      </c>
      <c r="X84" s="266">
        <v>500</v>
      </c>
      <c r="Y84" s="266">
        <v>50</v>
      </c>
      <c r="Z84" s="269">
        <f>SUM(V84:Y84)</f>
        <v>2550</v>
      </c>
    </row>
    <row r="85" spans="1:26" ht="23.25" customHeight="1" thickBot="1" x14ac:dyDescent="0.35">
      <c r="A85" s="98"/>
      <c r="B85" s="98"/>
      <c r="C85" s="98"/>
      <c r="D85" s="107" t="s">
        <v>697</v>
      </c>
      <c r="E85" s="274">
        <f>SUBTOTAL(9,Tabelle6152555[Aufwandsentschädigungen])</f>
        <v>4650</v>
      </c>
      <c r="F85" s="387">
        <f>SUBTOTAL(9,Tabelle6152555[Interne Reisekosten])</f>
        <v>2600</v>
      </c>
      <c r="G85" s="387">
        <f>SUBTOTAL(9,Tabelle6152555[Raum + Unterkunft intern])</f>
        <v>1400</v>
      </c>
      <c r="H85" s="387">
        <f>SUBTOTAL(9,Tabelle6152555[Repräsentation/Bewirtung intern])</f>
        <v>200</v>
      </c>
      <c r="I85" s="674">
        <f>SUBTOTAL(9,Tabelle6152555[Gesamt])</f>
        <v>8850</v>
      </c>
      <c r="R85" s="98"/>
      <c r="S85" s="98"/>
      <c r="T85" s="98"/>
      <c r="U85" s="107" t="s">
        <v>697</v>
      </c>
      <c r="V85" s="274">
        <f>SUBTOTAL(9,Tabelle61525[Aufwandsentschädigungen])</f>
        <v>4500</v>
      </c>
      <c r="W85" s="387">
        <f>SUBTOTAL(9,Tabelle61525[Interne Reisekosten])</f>
        <v>2600</v>
      </c>
      <c r="X85" s="387">
        <f>SUBTOTAL(9,Tabelle61525[Raum + Unterkunft intern])</f>
        <v>1600</v>
      </c>
      <c r="Y85" s="387">
        <f>SUBTOTAL(9,Tabelle61525[Repräsentation/Bewirtung intern])</f>
        <v>400</v>
      </c>
      <c r="Z85" s="674">
        <f>SUBTOTAL(9,Tabelle61525[Gesamt])</f>
        <v>6900</v>
      </c>
    </row>
  </sheetData>
  <sheetProtection insertRows="0" insertHyperlinks="0" selectLockedCells="1" sort="0" autoFilter="0" pivotTables="0"/>
  <hyperlinks>
    <hyperlink ref="B5" location="Psy_TN_Beiträge_I" display="Teilnahmebeiträge Seminare" xr:uid="{00000000-0004-0000-0F00-000000000000}"/>
    <hyperlink ref="B6" location="Psy_TN_Beiträge_II" display="Teilnahmebeiträge Veranstaltungen" xr:uid="{00000000-0004-0000-0F00-000001000000}"/>
    <hyperlink ref="B7" location="Psy_Sonst_Einnahmen" display="Sonstige Einnahmen (Vorauszahlungen Bewirtung, Werbung, …)" xr:uid="{00000000-0004-0000-0F00-000002000000}"/>
    <hyperlink ref="B22" location="Rechtsk.FSen" display="Rechtsangelegenheiten" xr:uid="{00000000-0004-0000-0F00-000003000000}"/>
    <hyperlink ref="B21" location="Psy_Sonst." display="Sonstige Kosten (Lizenzen, Allg. Geschäftsbetrieb)" xr:uid="{00000000-0004-0000-0F00-000004000000}"/>
    <hyperlink ref="B20" location="Psy_Druck" display="Druckkosten" xr:uid="{00000000-0004-0000-0F00-000005000000}"/>
    <hyperlink ref="B19" location="Psy_R_U_Ext." display="Raum- und Unterkunftskosten Seminare und Veranst." xr:uid="{00000000-0004-0000-0F00-000006000000}"/>
    <hyperlink ref="B18" location="Psy_Bew.Ext." display="Bewirtung und Repräsentation extern" xr:uid="{00000000-0004-0000-0F00-000007000000}"/>
    <hyperlink ref="B17" location="Psy_Ext.RK" display="Ext. Reisekosten" xr:uid="{00000000-0004-0000-0F00-000008000000}"/>
    <hyperlink ref="B16" location="Psy_Hon_II" display="Andere Honorare" xr:uid="{00000000-0004-0000-0F00-000009000000}"/>
    <hyperlink ref="B15" location="PSY_Hon_I" display="Honorare Fachseminare" xr:uid="{00000000-0004-0000-0F00-00000A000000}"/>
    <hyperlink ref="B14" location="Psy_Bew.Int." display="Bewirtung und Repräsentation intern" xr:uid="{00000000-0004-0000-0F00-00000B000000}"/>
    <hyperlink ref="B13" location="Psy_R_U_Int." display="Raum- und Unterkunftskosten" xr:uid="{00000000-0004-0000-0F00-00000C000000}"/>
    <hyperlink ref="B12" location="Psy_RK_Int." display="Fahrtkosten und Verpflegungspauschalen" xr:uid="{00000000-0004-0000-0F00-00000D000000}"/>
    <hyperlink ref="B11" location="Psy_AE_var" display="AE variabel" xr:uid="{00000000-0004-0000-0F00-00000E000000}"/>
    <hyperlink ref="AD62" location="PSY!F22" display="PSY!F22" xr:uid="{00000000-0004-0000-0F00-00000F000000}"/>
    <hyperlink ref="AC62" location="PSY!F21" display="PSY!F21" xr:uid="{00000000-0004-0000-0F00-000010000000}"/>
    <hyperlink ref="AB44" location="PSY!F20" display="PSY!F20" xr:uid="{00000000-0004-0000-0F00-000011000000}"/>
    <hyperlink ref="AA44" location="PSY!F19" display="PSY!F19" xr:uid="{00000000-0004-0000-0F00-000012000000}"/>
    <hyperlink ref="Z44" location="PSY!F18" display="PSY!F18" xr:uid="{00000000-0004-0000-0F00-000013000000}"/>
    <hyperlink ref="Y44" location="PSY!F17" display="PSY!F17" xr:uid="{00000000-0004-0000-0F00-000014000000}"/>
    <hyperlink ref="AB62" location="PSY!F20" display="PSY!F20" xr:uid="{00000000-0004-0000-0F00-000015000000}"/>
    <hyperlink ref="AA62" location="PSY!F19" display="PSY!F19" xr:uid="{00000000-0004-0000-0F00-000016000000}"/>
    <hyperlink ref="Z62" location="PSY!F18" display="PSY!F18" xr:uid="{00000000-0004-0000-0F00-000017000000}"/>
    <hyperlink ref="X44" location="PSY!F16" display="PSY!F16" xr:uid="{00000000-0004-0000-0F00-000018000000}"/>
    <hyperlink ref="W44" location="PSY!F15" display="PSY!F15" xr:uid="{00000000-0004-0000-0F00-000019000000}"/>
    <hyperlink ref="Y85" location="PSY!F14" display="PSY!F14" xr:uid="{00000000-0004-0000-0F00-00001A000000}"/>
    <hyperlink ref="Y62" location="PSY!F14" display="PSY!F14" xr:uid="{00000000-0004-0000-0F00-00001B000000}"/>
    <hyperlink ref="X85" location="PSY!F13" display="PSY!F13" xr:uid="{00000000-0004-0000-0F00-00001C000000}"/>
    <hyperlink ref="X62" location="PSY!F13" display="PSY!F13" xr:uid="{00000000-0004-0000-0F00-00001D000000}"/>
    <hyperlink ref="W85" location="PSY!F12" display="PSY!F12" xr:uid="{00000000-0004-0000-0F00-00001E000000}"/>
    <hyperlink ref="W62" location="PSY!F12" display="PSY!F12" xr:uid="{00000000-0004-0000-0F00-00001F000000}"/>
    <hyperlink ref="V85" location="PSY!F11" display="PSY!F11" xr:uid="{00000000-0004-0000-0F00-000020000000}"/>
    <hyperlink ref="V62" location="PSY!F11" display="PSY!F11" xr:uid="{00000000-0004-0000-0F00-000021000000}"/>
    <hyperlink ref="U62" location="PSY!F7" display="PSY!F7" xr:uid="{00000000-0004-0000-0F00-000022000000}"/>
    <hyperlink ref="T62" location="PSY!F6" display="PSY!F6" xr:uid="{00000000-0004-0000-0F00-000023000000}"/>
    <hyperlink ref="V44" location="PSY!F7" display="PSY!F7" xr:uid="{00000000-0004-0000-0F00-000024000000}"/>
    <hyperlink ref="U44" location="PSY!F6" display="PSY!F6" xr:uid="{00000000-0004-0000-0F00-000025000000}"/>
    <hyperlink ref="T44" location="PSY!F5" display="PSY!F5" xr:uid="{00000000-0004-0000-0F00-000026000000}"/>
    <hyperlink ref="H7" location="MaßnPSY_230.10" display="MaßnPSY_230.10" xr:uid="{00000000-0004-0000-0F00-000027000000}"/>
    <hyperlink ref="H6" location="MaßnPSY_220.10" display="MaßnPSY_220.10" xr:uid="{00000000-0004-0000-0F00-000028000000}"/>
    <hyperlink ref="H5" location="SemPSY_210.10" display="SemPSY_210.10" xr:uid="{00000000-0004-0000-0F00-000029000000}"/>
    <hyperlink ref="H22" location="MaßnPSY_560.70" display="MaßnPSY_560.70" xr:uid="{00000000-0004-0000-0F00-00002A000000}"/>
    <hyperlink ref="H21" location="MaßnPSY_551.70" display="MaßnPSY_551.70" xr:uid="{00000000-0004-0000-0F00-00002B000000}"/>
    <hyperlink ref="H20" location="MaßnPSY_551.60" display="MaßnPSY_551.60" xr:uid="{00000000-0004-0000-0F00-00002C000000}"/>
    <hyperlink ref="H19" location="SemPSY_551.50" display="SemPSY_551.50" xr:uid="{00000000-0004-0000-0F00-00002D000000}"/>
    <hyperlink ref="H18" location="SemPSY_551.40" display="SemPSY_551.40" xr:uid="{00000000-0004-0000-0F00-00002E000000}"/>
    <hyperlink ref="H17" location="SemPSY_551.30" display="SemPSY_551.30" xr:uid="{00000000-0004-0000-0F00-00002F000000}"/>
    <hyperlink ref="H16" location="SemPSY_551.20" display="SemPSY_551.20" xr:uid="{00000000-0004-0000-0F00-000030000000}"/>
    <hyperlink ref="H15" location="SemPSY_551.10" display="SemPSY_551.10" xr:uid="{00000000-0004-0000-0F00-000031000000}"/>
    <hyperlink ref="H14" location="AEFKPSY_531.40" display="AEFKPSY_531.40" xr:uid="{00000000-0004-0000-0F00-000032000000}"/>
    <hyperlink ref="H13" location="AEFKPSY_529.40" display="AEFKPSY_529.40" xr:uid="{00000000-0004-0000-0F00-000033000000}"/>
    <hyperlink ref="H12" location="AEFKPSY_527.40" display="AEFKPSY_527.40" xr:uid="{00000000-0004-0000-0F00-000034000000}"/>
    <hyperlink ref="H11" location="AEFKPSY_413.21" display="AEFKPSY_413.21" xr:uid="{00000000-0004-0000-0F00-000035000000}"/>
    <hyperlink ref="M62" location="PSY!F22" display="PSY!F22" xr:uid="{00000000-0004-0000-0F00-000036000000}"/>
    <hyperlink ref="L62" location="PSY!F21" display="PSY!F21" xr:uid="{00000000-0004-0000-0F00-000037000000}"/>
    <hyperlink ref="K62" location="PSY!F20" display="PSY!F20" xr:uid="{00000000-0004-0000-0F00-000038000000}"/>
    <hyperlink ref="J62" location="PSY!F19" display="PSY!F19" xr:uid="{00000000-0004-0000-0F00-000039000000}"/>
    <hyperlink ref="I62" location="PSY!F18" display="PSY!F18" xr:uid="{00000000-0004-0000-0F00-00003A000000}"/>
    <hyperlink ref="F44" location="PSY!F15" display="PSY!F15" xr:uid="{00000000-0004-0000-0F00-00003B000000}"/>
    <hyperlink ref="H85" location="PSY!F14" display="PSY!F14" xr:uid="{00000000-0004-0000-0F00-00003C000000}"/>
    <hyperlink ref="H62" location="PSY!F14" display="PSY!F14" xr:uid="{00000000-0004-0000-0F00-00003D000000}"/>
    <hyperlink ref="G85" location="PSY!F13" display="PSY!F13" xr:uid="{00000000-0004-0000-0F00-00003E000000}"/>
    <hyperlink ref="G62" location="PSY!F13" display="PSY!F13" xr:uid="{00000000-0004-0000-0F00-00003F000000}"/>
    <hyperlink ref="F85" location="PSY!F12" display="PSY!F12" xr:uid="{00000000-0004-0000-0F00-000040000000}"/>
    <hyperlink ref="F62" location="PSY!F12" display="PSY!F12" xr:uid="{00000000-0004-0000-0F00-000041000000}"/>
    <hyperlink ref="E85" location="PSY!F11" display="PSY!F11" xr:uid="{00000000-0004-0000-0F00-000042000000}"/>
    <hyperlink ref="E62" location="PSY!F11" display="PSY!F11" xr:uid="{00000000-0004-0000-0F00-000043000000}"/>
    <hyperlink ref="D62" location="PSY!F7" display="PSY!F7" xr:uid="{00000000-0004-0000-0F00-000044000000}"/>
    <hyperlink ref="C62" location="PSY!F6" display="PSY!F6" xr:uid="{00000000-0004-0000-0F00-000045000000}"/>
    <hyperlink ref="E44" location="PSY!F7" display="PSY!F7" xr:uid="{00000000-0004-0000-0F00-000046000000}"/>
    <hyperlink ref="D44" location="PSY!F6" display="PSY!F6" xr:uid="{00000000-0004-0000-0F00-000047000000}"/>
    <hyperlink ref="C44" location="PSY!F5" display="PSY!F5" xr:uid="{00000000-0004-0000-0F00-000048000000}"/>
    <hyperlink ref="G44:L44" location="PSY!F15" display="PSY!F15" xr:uid="{00000000-0004-0000-0F00-000049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85"/>
  <sheetViews>
    <sheetView showGridLines="0" topLeftCell="A3" zoomScale="75" zoomScaleNormal="75" workbookViewId="0">
      <selection activeCell="H11" sqref="H11"/>
    </sheetView>
  </sheetViews>
  <sheetFormatPr baseColWidth="10" defaultColWidth="11.44140625" defaultRowHeight="14.4" outlineLevelRow="2" x14ac:dyDescent="0.3"/>
  <cols>
    <col min="1" max="1" width="10.33203125" customWidth="1"/>
    <col min="2" max="2" width="29.33203125" customWidth="1"/>
    <col min="3" max="3" width="16.44140625" customWidth="1"/>
    <col min="4" max="4" width="15.77734375" customWidth="1"/>
    <col min="5" max="5" width="16" customWidth="1"/>
    <col min="6" max="6" width="18.33203125" customWidth="1"/>
    <col min="7" max="7" width="12.77734375" customWidth="1"/>
    <col min="8" max="8" width="13.33203125" customWidth="1"/>
    <col min="9" max="9" width="16.6640625" customWidth="1"/>
    <col min="10" max="10" width="13.44140625" customWidth="1"/>
    <col min="11" max="11" width="12" customWidth="1"/>
    <col min="12" max="12" width="13.44140625" customWidth="1"/>
    <col min="13" max="13" width="11.44140625" customWidth="1"/>
    <col min="14" max="14" width="23" customWidth="1"/>
    <col min="15" max="15" width="14.6640625" customWidth="1"/>
  </cols>
  <sheetData>
    <row r="1" spans="1:14" ht="18" x14ac:dyDescent="0.35">
      <c r="A1" s="11"/>
      <c r="B1" s="7" t="s">
        <v>716</v>
      </c>
    </row>
    <row r="2" spans="1:14" ht="19.5" customHeight="1" thickBot="1" x14ac:dyDescent="0.35"/>
    <row r="3" spans="1:14" s="235" customFormat="1" ht="57" customHeight="1" thickBot="1" x14ac:dyDescent="0.35">
      <c r="A3" s="229" t="s">
        <v>1</v>
      </c>
      <c r="B3" s="363" t="s">
        <v>4</v>
      </c>
      <c r="C3" s="364" t="s">
        <v>717</v>
      </c>
      <c r="D3" s="385" t="s">
        <v>718</v>
      </c>
      <c r="E3" s="1229" t="s">
        <v>1510</v>
      </c>
      <c r="F3" s="1008" t="s">
        <v>1509</v>
      </c>
      <c r="G3" s="1229" t="s">
        <v>1507</v>
      </c>
      <c r="H3" s="1008" t="s">
        <v>1508</v>
      </c>
      <c r="I3" s="230" t="s">
        <v>719</v>
      </c>
      <c r="J3" s="1008" t="s">
        <v>1369</v>
      </c>
      <c r="K3" s="232" t="s">
        <v>721</v>
      </c>
      <c r="L3" s="233" t="s">
        <v>7</v>
      </c>
      <c r="M3" s="234" t="s">
        <v>722</v>
      </c>
      <c r="N3" s="667" t="s">
        <v>723</v>
      </c>
    </row>
    <row r="4" spans="1:14" ht="18.75" customHeight="1" x14ac:dyDescent="0.3">
      <c r="A4" s="191" t="s">
        <v>724</v>
      </c>
      <c r="B4" s="173"/>
      <c r="C4" s="173"/>
      <c r="D4" s="173"/>
      <c r="E4" s="34"/>
      <c r="F4" s="173"/>
      <c r="G4" s="1237"/>
      <c r="H4" s="1237"/>
      <c r="I4" s="1010"/>
      <c r="J4" s="1010"/>
      <c r="K4" s="1001"/>
      <c r="L4" s="174"/>
      <c r="M4" s="50"/>
      <c r="N4" s="80"/>
    </row>
    <row r="5" spans="1:14" x14ac:dyDescent="0.3">
      <c r="A5" s="175" t="s">
        <v>69</v>
      </c>
      <c r="B5" s="210" t="s">
        <v>650</v>
      </c>
      <c r="C5" s="146"/>
      <c r="D5" s="146"/>
      <c r="E5" s="1230"/>
      <c r="F5" s="146"/>
      <c r="G5" s="1238">
        <v>46150</v>
      </c>
      <c r="H5" s="1238">
        <v>46150</v>
      </c>
      <c r="I5" s="1022">
        <v>56381</v>
      </c>
      <c r="J5" s="1011">
        <f>Tabelle4[[#Totals],[Teilnahmebeiträge Fachseminare]]</f>
        <v>56381</v>
      </c>
      <c r="K5" s="1002">
        <v>23000</v>
      </c>
      <c r="L5" s="743">
        <v>37605</v>
      </c>
      <c r="M5" s="176"/>
      <c r="N5" s="146"/>
    </row>
    <row r="6" spans="1:14" x14ac:dyDescent="0.3">
      <c r="A6" s="175" t="s">
        <v>83</v>
      </c>
      <c r="B6" s="210" t="s">
        <v>651</v>
      </c>
      <c r="C6" s="146"/>
      <c r="D6" s="146"/>
      <c r="E6" s="1230"/>
      <c r="F6" s="146"/>
      <c r="G6" s="1238">
        <v>0</v>
      </c>
      <c r="H6" s="1238">
        <v>0</v>
      </c>
      <c r="I6" s="1022">
        <v>0</v>
      </c>
      <c r="J6" s="1011">
        <f>Tabelle4[[#Totals],[Teilnahmebeiträge Veranstaltungen]]+Tabelle5[[#Totals],[Teilnahmebeiträge Veranstaltungen]]</f>
        <v>0</v>
      </c>
      <c r="K6" s="1002">
        <v>0</v>
      </c>
      <c r="L6" s="743">
        <v>0</v>
      </c>
      <c r="M6" s="176"/>
      <c r="N6" s="146"/>
    </row>
    <row r="7" spans="1:14" ht="15" thickBot="1" x14ac:dyDescent="0.35">
      <c r="A7" s="175" t="s">
        <v>90</v>
      </c>
      <c r="B7" s="210" t="s">
        <v>725</v>
      </c>
      <c r="C7" s="146"/>
      <c r="D7" s="146"/>
      <c r="E7" s="1230"/>
      <c r="F7" s="146"/>
      <c r="G7" s="1238">
        <v>0</v>
      </c>
      <c r="H7" s="1238">
        <v>0</v>
      </c>
      <c r="I7" s="1022">
        <v>0</v>
      </c>
      <c r="J7" s="1012">
        <f>Tabelle4[[#Totals],[Sonstige Einnahmen]]+Tabelle5[[#Totals],[Sonstige Einnahmen]]</f>
        <v>0</v>
      </c>
      <c r="K7" s="1002">
        <v>0</v>
      </c>
      <c r="L7" s="743">
        <v>0</v>
      </c>
      <c r="M7" s="176"/>
      <c r="N7" s="146"/>
    </row>
    <row r="8" spans="1:14" ht="15" thickBot="1" x14ac:dyDescent="0.35">
      <c r="A8" s="177"/>
      <c r="B8" s="178"/>
      <c r="C8" s="178"/>
      <c r="D8" s="178" t="s">
        <v>556</v>
      </c>
      <c r="E8" s="1234"/>
      <c r="F8" s="1235"/>
      <c r="G8" s="1239">
        <f t="shared" ref="G8:L8" si="0">SUBTOTAL(9,G5:G7)</f>
        <v>46150</v>
      </c>
      <c r="H8" s="1239">
        <f t="shared" si="0"/>
        <v>46150</v>
      </c>
      <c r="I8" s="1003">
        <f t="shared" si="0"/>
        <v>56381</v>
      </c>
      <c r="J8" s="1013">
        <f t="shared" si="0"/>
        <v>56381</v>
      </c>
      <c r="K8" s="1003">
        <f t="shared" si="0"/>
        <v>23000</v>
      </c>
      <c r="L8" s="167">
        <f t="shared" si="0"/>
        <v>37605</v>
      </c>
      <c r="M8" s="179"/>
      <c r="N8" s="659"/>
    </row>
    <row r="9" spans="1:14" ht="18.75" customHeight="1" x14ac:dyDescent="0.3">
      <c r="A9" s="180" t="s">
        <v>119</v>
      </c>
      <c r="B9" s="181"/>
      <c r="C9" s="181"/>
      <c r="D9" s="181"/>
      <c r="E9" s="1028"/>
      <c r="F9" s="181"/>
      <c r="G9" s="182"/>
      <c r="H9" s="182"/>
      <c r="I9" s="1004"/>
      <c r="J9" s="1014"/>
      <c r="K9" s="1004"/>
      <c r="L9" s="181"/>
      <c r="M9" s="182"/>
      <c r="N9" s="146"/>
    </row>
    <row r="10" spans="1:14" x14ac:dyDescent="0.3">
      <c r="A10" s="183" t="s">
        <v>134</v>
      </c>
      <c r="B10" s="146" t="s">
        <v>726</v>
      </c>
      <c r="C10" s="146"/>
      <c r="D10" s="146"/>
      <c r="E10" s="1230"/>
      <c r="F10" s="146"/>
      <c r="G10" s="1240">
        <v>9600</v>
      </c>
      <c r="H10" s="1015">
        <f>800*12</f>
        <v>9600</v>
      </c>
      <c r="I10" s="1023">
        <v>9600</v>
      </c>
      <c r="J10" s="1015">
        <f>800*12</f>
        <v>9600</v>
      </c>
      <c r="K10" s="1005">
        <f>800*12</f>
        <v>9600</v>
      </c>
      <c r="L10" s="743">
        <v>9453.33</v>
      </c>
      <c r="M10" s="176"/>
      <c r="N10" s="146"/>
    </row>
    <row r="11" spans="1:14" x14ac:dyDescent="0.3">
      <c r="A11" s="183" t="s">
        <v>136</v>
      </c>
      <c r="B11" s="210" t="s">
        <v>727</v>
      </c>
      <c r="C11" s="146"/>
      <c r="D11" s="146"/>
      <c r="E11" s="1230"/>
      <c r="F11" s="146"/>
      <c r="G11" s="1240">
        <v>8600</v>
      </c>
      <c r="H11" s="57">
        <f>Tabelle647[[#Totals],[Aufwandsentschädigungen]]</f>
        <v>8600</v>
      </c>
      <c r="I11" s="1022">
        <v>8600</v>
      </c>
      <c r="J11" s="1011">
        <f>Tabelle6[[#Totals],[Aufwandsentschädigungen]]</f>
        <v>8600</v>
      </c>
      <c r="K11" s="1002">
        <v>10400</v>
      </c>
      <c r="L11" s="743">
        <v>5830</v>
      </c>
      <c r="M11" s="176"/>
      <c r="N11" s="146"/>
    </row>
    <row r="12" spans="1:14" x14ac:dyDescent="0.3">
      <c r="A12" s="183" t="s">
        <v>728</v>
      </c>
      <c r="B12" s="210" t="s">
        <v>729</v>
      </c>
      <c r="C12" s="146"/>
      <c r="D12" s="146"/>
      <c r="E12" s="1230"/>
      <c r="F12" s="146"/>
      <c r="G12" s="1240">
        <v>15000</v>
      </c>
      <c r="H12" s="57">
        <f>Tabelle647[[#Totals],[Interne Reisekosten]]</f>
        <v>15000</v>
      </c>
      <c r="I12" s="1022">
        <v>15000</v>
      </c>
      <c r="J12" s="1011">
        <f>Tabelle6[[#Totals],[Interne Reisekosten]]</f>
        <v>14800</v>
      </c>
      <c r="K12" s="1002">
        <v>14000</v>
      </c>
      <c r="L12" s="743">
        <v>8591.16</v>
      </c>
      <c r="M12" s="176"/>
      <c r="N12" s="146"/>
    </row>
    <row r="13" spans="1:14" ht="15" customHeight="1" x14ac:dyDescent="0.3">
      <c r="A13" s="183" t="s">
        <v>266</v>
      </c>
      <c r="B13" s="210" t="s">
        <v>730</v>
      </c>
      <c r="C13" s="184"/>
      <c r="D13" s="184"/>
      <c r="E13" s="1231"/>
      <c r="F13" s="184"/>
      <c r="G13" s="1241">
        <v>3000</v>
      </c>
      <c r="H13" s="57">
        <f>Tabelle647[[#Totals],[Raum + Unterkunft intern]]</f>
        <v>4452</v>
      </c>
      <c r="I13" s="1022">
        <v>4200</v>
      </c>
      <c r="J13" s="1016">
        <f>Tabelle6[[#Totals],[Raum + Unterkunft intern]]</f>
        <v>4452</v>
      </c>
      <c r="K13" s="1002">
        <v>3000</v>
      </c>
      <c r="L13" s="744">
        <v>1120</v>
      </c>
      <c r="M13" s="185"/>
      <c r="N13" s="146"/>
    </row>
    <row r="14" spans="1:14" x14ac:dyDescent="0.3">
      <c r="A14" s="183" t="s">
        <v>292</v>
      </c>
      <c r="B14" s="212" t="s">
        <v>731</v>
      </c>
      <c r="C14" s="80"/>
      <c r="D14" s="80"/>
      <c r="E14" s="1232"/>
      <c r="F14" s="80"/>
      <c r="G14" s="1242">
        <v>2000</v>
      </c>
      <c r="H14" s="57">
        <f>Tabelle647[[#Totals],[Repräsentation/Bewirtung intern]]</f>
        <v>2000</v>
      </c>
      <c r="I14" s="1022">
        <v>1000</v>
      </c>
      <c r="J14" s="1017">
        <f>Tabelle6[[#Totals],[Repräsentation/Bewirtung intern]]</f>
        <v>920</v>
      </c>
      <c r="K14" s="1002">
        <v>200</v>
      </c>
      <c r="L14" s="745">
        <v>118.19</v>
      </c>
      <c r="M14" s="186"/>
      <c r="N14" s="80"/>
    </row>
    <row r="15" spans="1:14" x14ac:dyDescent="0.3">
      <c r="A15" s="183" t="s">
        <v>335</v>
      </c>
      <c r="B15" s="210" t="s">
        <v>732</v>
      </c>
      <c r="C15" s="146"/>
      <c r="D15" s="146"/>
      <c r="E15" s="1230"/>
      <c r="F15" s="146"/>
      <c r="G15" s="1240">
        <v>40000</v>
      </c>
      <c r="H15" s="57">
        <f>Tabelle444[[#Totals],[Honorare Dozierende Fachseminare]]</f>
        <v>40000</v>
      </c>
      <c r="I15" s="1022">
        <v>45600</v>
      </c>
      <c r="J15" s="1011">
        <f>Tabelle4[[#Totals],[Honorare Dozierende Fachseminare]]</f>
        <v>45600</v>
      </c>
      <c r="K15" s="1002">
        <f>45000*0.7</f>
        <v>31499.999999999996</v>
      </c>
      <c r="L15" s="743">
        <v>41821.25</v>
      </c>
      <c r="M15" s="176"/>
      <c r="N15" s="146"/>
    </row>
    <row r="16" spans="1:14" x14ac:dyDescent="0.3">
      <c r="A16" s="183" t="s">
        <v>346</v>
      </c>
      <c r="B16" s="211" t="s">
        <v>318</v>
      </c>
      <c r="C16" s="80"/>
      <c r="D16" s="80"/>
      <c r="E16" s="1232"/>
      <c r="F16" s="80"/>
      <c r="G16" s="1242">
        <v>1000</v>
      </c>
      <c r="H16" s="57">
        <f>Tabelle546[[#Totals],[Andere Honorare]]</f>
        <v>2000</v>
      </c>
      <c r="I16" s="1022">
        <v>2000</v>
      </c>
      <c r="J16" s="1018">
        <f>Tabelle5[[#Totals],[Andere Honorare]]</f>
        <v>1000</v>
      </c>
      <c r="K16" s="1002">
        <f>45000*0.15</f>
        <v>6750</v>
      </c>
      <c r="L16" s="745">
        <v>0</v>
      </c>
      <c r="M16" s="186"/>
      <c r="N16" s="80"/>
    </row>
    <row r="17" spans="1:14" x14ac:dyDescent="0.3">
      <c r="A17" s="183" t="s">
        <v>357</v>
      </c>
      <c r="B17" s="211" t="s">
        <v>733</v>
      </c>
      <c r="C17" s="80"/>
      <c r="D17" s="80"/>
      <c r="E17" s="1232"/>
      <c r="F17" s="80"/>
      <c r="G17" s="1242">
        <v>500</v>
      </c>
      <c r="H17" s="57">
        <f>Tabelle444[[#Totals],[Externe Reisekosten]]</f>
        <v>500</v>
      </c>
      <c r="I17" s="1022">
        <v>1100</v>
      </c>
      <c r="J17" s="1019">
        <f>Tabelle4[[#Totals],[Externe Reisekosten]]</f>
        <v>1100</v>
      </c>
      <c r="K17" s="1002">
        <f>45000*0.15</f>
        <v>6750</v>
      </c>
      <c r="L17" s="745">
        <v>0</v>
      </c>
      <c r="M17" s="186"/>
      <c r="N17" s="80"/>
    </row>
    <row r="18" spans="1:14" x14ac:dyDescent="0.3">
      <c r="A18" s="183" t="s">
        <v>364</v>
      </c>
      <c r="B18" s="211" t="s">
        <v>363</v>
      </c>
      <c r="C18" s="80"/>
      <c r="D18" s="80"/>
      <c r="E18" s="1232"/>
      <c r="F18" s="80"/>
      <c r="G18" s="1242">
        <v>500</v>
      </c>
      <c r="H18" s="57">
        <f>Tabelle444[[#Totals],[Repräsentation/Bewirtung extern]]+Tabelle5[[#Totals],[Repräsentation/Bewirtung extern]]</f>
        <v>460</v>
      </c>
      <c r="I18" s="1022">
        <v>1500</v>
      </c>
      <c r="J18" s="1019">
        <f>Tabelle4[[#Totals],[Repräsentation/Bewirtung extern]]+Tabelle5[[#Totals],[Repräsentation/Bewirtung extern]]</f>
        <v>1473</v>
      </c>
      <c r="K18" s="1002">
        <v>2100</v>
      </c>
      <c r="L18" s="745">
        <v>0</v>
      </c>
      <c r="M18" s="186"/>
      <c r="N18" s="80"/>
    </row>
    <row r="19" spans="1:14" x14ac:dyDescent="0.3">
      <c r="A19" s="183" t="s">
        <v>376</v>
      </c>
      <c r="B19" s="211" t="s">
        <v>734</v>
      </c>
      <c r="C19" s="80"/>
      <c r="D19" s="80"/>
      <c r="E19" s="1232"/>
      <c r="F19" s="80"/>
      <c r="G19" s="1242">
        <v>500</v>
      </c>
      <c r="H19" s="57">
        <f>Tabelle444[[#Totals],[Raum + Unterkunft extern]]+Tabelle5[[#Totals],[Raum + Unterkunft extern]]</f>
        <v>500</v>
      </c>
      <c r="I19" s="1022">
        <v>3000</v>
      </c>
      <c r="J19" s="1019">
        <f>Tabelle4[[#Totals],[Raum + Unterkunft extern]]+Tabelle5[[#Totals],[Raum + Unterkunft extern]]</f>
        <v>3000</v>
      </c>
      <c r="K19" s="1002">
        <v>4000</v>
      </c>
      <c r="L19" s="745">
        <v>0</v>
      </c>
      <c r="M19" s="186"/>
      <c r="N19" s="80"/>
    </row>
    <row r="20" spans="1:14" x14ac:dyDescent="0.3">
      <c r="A20" s="183" t="s">
        <v>386</v>
      </c>
      <c r="B20" s="212" t="s">
        <v>1229</v>
      </c>
      <c r="C20" s="80"/>
      <c r="D20" s="80"/>
      <c r="E20" s="1232"/>
      <c r="F20" s="80"/>
      <c r="G20" s="1242">
        <v>3500</v>
      </c>
      <c r="H20" s="57">
        <f>Tabelle444[[#Totals],[Verwaltungs- und Druckkosten]]+Tabelle5[[#Totals],[Druckkosten]]</f>
        <v>2340</v>
      </c>
      <c r="I20" s="1022">
        <v>4000</v>
      </c>
      <c r="J20" s="1019">
        <f>Tabelle4[[#Totals],[Verwaltungs- und Druckkosten]]+Tabelle5[[#Totals],[Druckkosten]]</f>
        <v>3618</v>
      </c>
      <c r="K20" s="1002">
        <v>0</v>
      </c>
      <c r="L20" s="745">
        <v>0</v>
      </c>
      <c r="M20" s="186"/>
      <c r="N20" s="80"/>
    </row>
    <row r="21" spans="1:14" x14ac:dyDescent="0.3">
      <c r="A21" s="183" t="s">
        <v>398</v>
      </c>
      <c r="B21" s="212" t="s">
        <v>397</v>
      </c>
      <c r="C21" s="80"/>
      <c r="D21" s="80"/>
      <c r="E21" s="1232"/>
      <c r="F21" s="80"/>
      <c r="G21" s="1242">
        <v>2500</v>
      </c>
      <c r="H21" s="57">
        <f>Tabelle546[[#Totals],[Sonstige Kosten]]</f>
        <v>3380</v>
      </c>
      <c r="I21" s="1022">
        <v>3400</v>
      </c>
      <c r="J21" s="1017">
        <f>Tabelle5[[#Totals],[Sonstige Kosten]]</f>
        <v>2520</v>
      </c>
      <c r="K21" s="1002">
        <v>4000</v>
      </c>
      <c r="L21" s="745">
        <v>2507.77</v>
      </c>
      <c r="M21" s="186"/>
      <c r="N21" s="80"/>
    </row>
    <row r="22" spans="1:14" ht="15" thickBot="1" x14ac:dyDescent="0.35">
      <c r="A22" s="183" t="s">
        <v>424</v>
      </c>
      <c r="B22" s="212" t="s">
        <v>675</v>
      </c>
      <c r="C22" s="80"/>
      <c r="D22" s="80"/>
      <c r="E22" s="1232"/>
      <c r="F22" s="80"/>
      <c r="G22" s="1242">
        <v>0</v>
      </c>
      <c r="H22" s="57">
        <f>Tabelle546[[#Totals],[Rechtsangelegenheiten]]</f>
        <v>500</v>
      </c>
      <c r="I22" s="1024">
        <v>500</v>
      </c>
      <c r="J22" s="1020">
        <f>Tabelle5[[#Totals],[Rechtsangelegenheiten]]</f>
        <v>600</v>
      </c>
      <c r="K22" s="1006">
        <v>700</v>
      </c>
      <c r="L22" s="745">
        <v>0</v>
      </c>
      <c r="M22" s="186"/>
      <c r="N22" s="80"/>
    </row>
    <row r="23" spans="1:14" ht="15" thickBot="1" x14ac:dyDescent="0.35">
      <c r="A23" s="187"/>
      <c r="B23" s="188"/>
      <c r="C23" s="188"/>
      <c r="D23" s="189" t="s">
        <v>556</v>
      </c>
      <c r="E23" s="1233"/>
      <c r="F23" s="1236"/>
      <c r="G23" s="1243">
        <f t="shared" ref="G23:L23" si="1">SUBTOTAL(109,G10:G22)</f>
        <v>86700</v>
      </c>
      <c r="H23" s="1244">
        <f t="shared" si="1"/>
        <v>89332</v>
      </c>
      <c r="I23" s="1025">
        <f t="shared" si="1"/>
        <v>99500</v>
      </c>
      <c r="J23" s="1021">
        <f t="shared" si="1"/>
        <v>97283</v>
      </c>
      <c r="K23" s="1007">
        <f t="shared" si="1"/>
        <v>93000</v>
      </c>
      <c r="L23" s="171">
        <f t="shared" si="1"/>
        <v>69441.7</v>
      </c>
      <c r="M23" s="190"/>
      <c r="N23" s="668"/>
    </row>
    <row r="24" spans="1:14" ht="15" thickBot="1" x14ac:dyDescent="0.35">
      <c r="A24" s="77"/>
      <c r="B24" s="76"/>
      <c r="C24" s="76"/>
      <c r="D24" s="76"/>
      <c r="E24" s="76"/>
      <c r="F24" s="76"/>
      <c r="G24" s="76"/>
      <c r="H24" s="76"/>
    </row>
    <row r="25" spans="1:14" ht="16.2" thickBot="1" x14ac:dyDescent="0.35">
      <c r="A25" s="77"/>
      <c r="B25" s="76"/>
      <c r="C25" s="76"/>
      <c r="D25" s="79" t="s">
        <v>735</v>
      </c>
      <c r="E25" s="1033">
        <f>G8-Tabelle18[[#Totals],[Freie Eingabe HHHJ 23-242]]</f>
        <v>-40550</v>
      </c>
      <c r="F25" s="1033">
        <f>H8-Tabelle18[[#Totals],[Rechnung HHJ 23-243]]</f>
        <v>-43182</v>
      </c>
      <c r="G25" s="195">
        <f>I8-Tabelle18[[#Totals],[Freie Eingabe Plan HHJ 22-23]]</f>
        <v>-43119</v>
      </c>
      <c r="H25" s="669">
        <f>J8-Tabelle18[[#Totals],[Rechnung HHJ 22-232]]</f>
        <v>-40902</v>
      </c>
      <c r="I25" s="669">
        <f>K8-Tabelle18[[#Totals],[Freie Eingabe Plan HHJ 21-22]]</f>
        <v>-70000</v>
      </c>
      <c r="J25" s="670"/>
      <c r="K25" s="670"/>
    </row>
    <row r="26" spans="1:14" x14ac:dyDescent="0.3">
      <c r="A26" s="77"/>
      <c r="B26" s="76"/>
      <c r="C26" s="76"/>
      <c r="D26" s="76"/>
      <c r="E26" s="76"/>
      <c r="F26" s="76"/>
      <c r="G26" s="76"/>
      <c r="H26" s="76"/>
    </row>
    <row r="27" spans="1:14" ht="15.6" x14ac:dyDescent="0.3">
      <c r="B27" s="114" t="s">
        <v>736</v>
      </c>
      <c r="C27" s="76"/>
      <c r="D27" s="76"/>
      <c r="E27" s="88"/>
      <c r="F27" s="76"/>
      <c r="G27" s="76"/>
      <c r="H27" s="76"/>
    </row>
    <row r="28" spans="1:14" ht="15.6" x14ac:dyDescent="0.3">
      <c r="B28" s="77" t="s">
        <v>737</v>
      </c>
      <c r="C28" s="76"/>
      <c r="D28" s="76"/>
      <c r="E28" s="88"/>
      <c r="F28" s="76"/>
      <c r="G28" s="76"/>
      <c r="H28" s="76"/>
    </row>
    <row r="29" spans="1:14" x14ac:dyDescent="0.3">
      <c r="B29" s="77" t="s">
        <v>738</v>
      </c>
      <c r="C29" s="80"/>
      <c r="D29" s="80"/>
      <c r="E29" s="89"/>
      <c r="F29" s="80"/>
      <c r="G29" s="80"/>
      <c r="H29" s="80"/>
    </row>
    <row r="30" spans="1:14" x14ac:dyDescent="0.3">
      <c r="A30" s="78"/>
      <c r="B30" s="80"/>
      <c r="C30" s="80"/>
      <c r="D30" s="80"/>
      <c r="E30" s="89"/>
      <c r="F30" s="80"/>
      <c r="G30" s="80"/>
      <c r="H30" s="80"/>
    </row>
    <row r="31" spans="1:14" x14ac:dyDescent="0.3">
      <c r="A31" s="77"/>
      <c r="B31" s="76"/>
      <c r="C31" s="76"/>
      <c r="D31" s="76"/>
      <c r="E31" s="76"/>
      <c r="F31" s="76"/>
      <c r="G31" s="76"/>
      <c r="H31" s="76"/>
    </row>
    <row r="32" spans="1:14" ht="15.6" x14ac:dyDescent="0.3">
      <c r="A32" s="7"/>
      <c r="B32" s="7" t="s">
        <v>1223</v>
      </c>
      <c r="D32" s="6" t="s">
        <v>739</v>
      </c>
    </row>
    <row r="33" spans="1:28" ht="16.2" thickBot="1" x14ac:dyDescent="0.35">
      <c r="A33" s="7"/>
    </row>
    <row r="34" spans="1:28" ht="15" thickBot="1" x14ac:dyDescent="0.35">
      <c r="A34" s="369"/>
      <c r="B34" s="370" t="s">
        <v>656</v>
      </c>
      <c r="C34" s="371" t="s">
        <v>69</v>
      </c>
      <c r="D34" s="372"/>
      <c r="E34" s="372" t="s">
        <v>90</v>
      </c>
      <c r="F34" s="373" t="s">
        <v>335</v>
      </c>
      <c r="G34" s="373"/>
      <c r="H34" s="373" t="s">
        <v>357</v>
      </c>
      <c r="I34" s="373" t="s">
        <v>364</v>
      </c>
      <c r="J34" s="373" t="s">
        <v>376</v>
      </c>
      <c r="K34" s="373" t="s">
        <v>386</v>
      </c>
      <c r="L34" s="671"/>
      <c r="O34" s="369"/>
      <c r="P34" s="370" t="s">
        <v>656</v>
      </c>
      <c r="Q34" s="371" t="s">
        <v>69</v>
      </c>
      <c r="R34" s="372"/>
      <c r="S34" s="372" t="s">
        <v>90</v>
      </c>
      <c r="T34" s="373" t="s">
        <v>335</v>
      </c>
      <c r="U34" s="373"/>
      <c r="V34" s="373" t="s">
        <v>357</v>
      </c>
      <c r="W34" s="373" t="s">
        <v>364</v>
      </c>
      <c r="X34" s="373" t="s">
        <v>376</v>
      </c>
      <c r="Y34" s="373" t="s">
        <v>386</v>
      </c>
      <c r="Z34" s="671"/>
    </row>
    <row r="35" spans="1:28" ht="55.8" thickBot="1" x14ac:dyDescent="0.35">
      <c r="A35" s="95" t="s">
        <v>740</v>
      </c>
      <c r="B35" s="139" t="s">
        <v>741</v>
      </c>
      <c r="C35" s="375" t="s">
        <v>742</v>
      </c>
      <c r="D35" s="376" t="s">
        <v>651</v>
      </c>
      <c r="E35" s="376" t="s">
        <v>743</v>
      </c>
      <c r="F35" s="376" t="s">
        <v>315</v>
      </c>
      <c r="G35" s="376" t="s">
        <v>748</v>
      </c>
      <c r="H35" s="376" t="s">
        <v>321</v>
      </c>
      <c r="I35" s="376" t="s">
        <v>744</v>
      </c>
      <c r="J35" s="376" t="s">
        <v>745</v>
      </c>
      <c r="K35" s="376" t="s">
        <v>1222</v>
      </c>
      <c r="L35" s="672" t="s">
        <v>607</v>
      </c>
      <c r="O35" s="95" t="s">
        <v>740</v>
      </c>
      <c r="P35" s="139" t="s">
        <v>741</v>
      </c>
      <c r="Q35" s="375" t="s">
        <v>742</v>
      </c>
      <c r="R35" s="376" t="s">
        <v>651</v>
      </c>
      <c r="S35" s="376" t="s">
        <v>743</v>
      </c>
      <c r="T35" s="376" t="s">
        <v>315</v>
      </c>
      <c r="U35" s="376" t="s">
        <v>748</v>
      </c>
      <c r="V35" s="376" t="s">
        <v>321</v>
      </c>
      <c r="W35" s="376" t="s">
        <v>744</v>
      </c>
      <c r="X35" s="376" t="s">
        <v>745</v>
      </c>
      <c r="Y35" s="376" t="s">
        <v>1222</v>
      </c>
      <c r="Z35" s="672" t="s">
        <v>607</v>
      </c>
    </row>
    <row r="36" spans="1:28" s="81" customFormat="1" ht="99.75" customHeight="1" outlineLevel="2" x14ac:dyDescent="0.3">
      <c r="A36" s="90">
        <f t="shared" ref="A36:A43" si="2">ROW(A1)</f>
        <v>1</v>
      </c>
      <c r="B36" s="995" t="s">
        <v>1366</v>
      </c>
      <c r="C36" s="378"/>
      <c r="D36" s="291"/>
      <c r="E36" s="291"/>
      <c r="F36" s="291"/>
      <c r="G36" s="291"/>
      <c r="H36" s="291"/>
      <c r="I36" s="291"/>
      <c r="J36" s="291"/>
      <c r="K36" s="291"/>
      <c r="L36" s="295">
        <f t="shared" ref="L36:L44" si="3">SUM(C36:E36)-SUM(F36:K36)</f>
        <v>0</v>
      </c>
      <c r="O36" s="90">
        <f>ROW(O1)</f>
        <v>1</v>
      </c>
      <c r="P36" s="662" t="s">
        <v>1279</v>
      </c>
      <c r="Q36" s="378"/>
      <c r="R36" s="291"/>
      <c r="S36" s="291"/>
      <c r="T36" s="291"/>
      <c r="U36" s="291"/>
      <c r="V36" s="291"/>
      <c r="W36" s="291"/>
      <c r="X36" s="291"/>
      <c r="Y36" s="291"/>
      <c r="Z36" s="295">
        <f t="shared" ref="Z36:Z44" si="4">SUM(Q36:S36)-SUM(T36:Y36)</f>
        <v>0</v>
      </c>
      <c r="AB36" s="661" t="s">
        <v>1230</v>
      </c>
    </row>
    <row r="37" spans="1:28" s="81" customFormat="1" ht="54" customHeight="1" outlineLevel="2" x14ac:dyDescent="0.3">
      <c r="A37" s="90">
        <f t="shared" si="2"/>
        <v>2</v>
      </c>
      <c r="B37" s="1032" t="s">
        <v>1367</v>
      </c>
      <c r="C37" s="996">
        <v>46150</v>
      </c>
      <c r="D37" s="116"/>
      <c r="E37" s="116"/>
      <c r="F37" s="997">
        <v>40000</v>
      </c>
      <c r="G37" s="997">
        <v>1800</v>
      </c>
      <c r="H37" s="116"/>
      <c r="I37" s="116"/>
      <c r="J37" s="116"/>
      <c r="K37" s="997">
        <v>1340</v>
      </c>
      <c r="L37" s="117">
        <f t="shared" si="3"/>
        <v>3010</v>
      </c>
      <c r="O37" s="90">
        <f>ROW(O2)</f>
        <v>2</v>
      </c>
      <c r="P37" s="273" t="s">
        <v>1280</v>
      </c>
      <c r="Q37" s="115">
        <v>10818</v>
      </c>
      <c r="R37" s="116"/>
      <c r="S37" s="116"/>
      <c r="T37" s="116">
        <v>9600</v>
      </c>
      <c r="U37" s="116">
        <f>12*45</f>
        <v>540</v>
      </c>
      <c r="V37" s="116"/>
      <c r="W37" s="116">
        <f>12*9.5</f>
        <v>114</v>
      </c>
      <c r="X37" s="116"/>
      <c r="Y37" s="116">
        <v>564</v>
      </c>
      <c r="Z37" s="117">
        <f t="shared" si="4"/>
        <v>0</v>
      </c>
    </row>
    <row r="38" spans="1:28" s="81" customFormat="1" ht="30" customHeight="1" outlineLevel="2" x14ac:dyDescent="0.3">
      <c r="A38" s="90">
        <f t="shared" si="2"/>
        <v>3</v>
      </c>
      <c r="B38" s="656"/>
      <c r="C38" s="115"/>
      <c r="D38" s="116"/>
      <c r="E38" s="116"/>
      <c r="F38" s="116"/>
      <c r="G38" s="116"/>
      <c r="H38" s="116"/>
      <c r="I38" s="116"/>
      <c r="J38" s="116"/>
      <c r="K38" s="116"/>
      <c r="L38" s="117"/>
      <c r="O38" s="90">
        <f t="shared" ref="O38:O43" si="5">ROW(Q3)</f>
        <v>3</v>
      </c>
      <c r="P38" s="656" t="s">
        <v>1281</v>
      </c>
      <c r="Q38" s="115">
        <v>10818</v>
      </c>
      <c r="R38" s="116"/>
      <c r="S38" s="116"/>
      <c r="T38" s="116">
        <v>9600</v>
      </c>
      <c r="U38" s="116">
        <v>540</v>
      </c>
      <c r="V38" s="116"/>
      <c r="W38" s="116">
        <v>114</v>
      </c>
      <c r="X38" s="116"/>
      <c r="Y38" s="116">
        <v>564</v>
      </c>
      <c r="Z38" s="117">
        <f t="shared" si="4"/>
        <v>0</v>
      </c>
    </row>
    <row r="39" spans="1:28" s="81" customFormat="1" ht="30" customHeight="1" outlineLevel="2" x14ac:dyDescent="0.3">
      <c r="A39" s="90">
        <f t="shared" si="2"/>
        <v>4</v>
      </c>
      <c r="B39" s="656"/>
      <c r="C39" s="115"/>
      <c r="D39" s="116"/>
      <c r="E39" s="116"/>
      <c r="F39" s="116"/>
      <c r="G39" s="116"/>
      <c r="H39" s="116"/>
      <c r="I39" s="116"/>
      <c r="J39" s="116"/>
      <c r="K39" s="116"/>
      <c r="L39" s="117"/>
      <c r="O39" s="90">
        <f t="shared" si="5"/>
        <v>4</v>
      </c>
      <c r="P39" s="656" t="s">
        <v>1282</v>
      </c>
      <c r="Q39" s="115">
        <v>9015</v>
      </c>
      <c r="R39" s="116"/>
      <c r="S39" s="116"/>
      <c r="T39" s="116">
        <v>8000</v>
      </c>
      <c r="U39" s="116">
        <v>450</v>
      </c>
      <c r="V39" s="116"/>
      <c r="W39" s="116">
        <v>95</v>
      </c>
      <c r="X39" s="116"/>
      <c r="Y39" s="116">
        <v>470</v>
      </c>
      <c r="Z39" s="117">
        <f t="shared" si="4"/>
        <v>0</v>
      </c>
    </row>
    <row r="40" spans="1:28" s="81" customFormat="1" ht="37.5" customHeight="1" outlineLevel="2" x14ac:dyDescent="0.3">
      <c r="A40" s="90">
        <f t="shared" si="2"/>
        <v>5</v>
      </c>
      <c r="B40" s="656"/>
      <c r="C40" s="115"/>
      <c r="D40" s="116"/>
      <c r="E40" s="116"/>
      <c r="F40" s="116"/>
      <c r="G40" s="116"/>
      <c r="H40" s="116"/>
      <c r="I40" s="116"/>
      <c r="J40" s="116"/>
      <c r="K40" s="116"/>
      <c r="L40" s="117"/>
      <c r="O40" s="90">
        <f t="shared" si="5"/>
        <v>5</v>
      </c>
      <c r="P40" s="656" t="s">
        <v>1283</v>
      </c>
      <c r="Q40" s="115">
        <v>9015</v>
      </c>
      <c r="R40" s="116"/>
      <c r="S40" s="116"/>
      <c r="T40" s="116">
        <v>8000</v>
      </c>
      <c r="U40" s="116">
        <v>450</v>
      </c>
      <c r="V40" s="116"/>
      <c r="W40" s="116">
        <v>95</v>
      </c>
      <c r="X40" s="116"/>
      <c r="Y40" s="116">
        <v>470</v>
      </c>
      <c r="Z40" s="117">
        <f t="shared" si="4"/>
        <v>0</v>
      </c>
    </row>
    <row r="41" spans="1:28" s="81" customFormat="1" ht="41.25" customHeight="1" outlineLevel="2" x14ac:dyDescent="0.3">
      <c r="A41" s="90">
        <f t="shared" si="2"/>
        <v>6</v>
      </c>
      <c r="B41" s="656"/>
      <c r="C41" s="115"/>
      <c r="D41" s="116"/>
      <c r="E41" s="116"/>
      <c r="F41" s="116"/>
      <c r="G41" s="116"/>
      <c r="H41" s="116"/>
      <c r="I41" s="116"/>
      <c r="J41" s="116"/>
      <c r="K41" s="116"/>
      <c r="L41" s="117"/>
      <c r="O41" s="90">
        <f t="shared" si="5"/>
        <v>6</v>
      </c>
      <c r="P41" s="656" t="s">
        <v>1228</v>
      </c>
      <c r="Q41" s="115">
        <v>13415</v>
      </c>
      <c r="R41" s="116"/>
      <c r="S41" s="116"/>
      <c r="T41" s="116">
        <v>8000</v>
      </c>
      <c r="U41" s="116">
        <v>570</v>
      </c>
      <c r="V41" s="116">
        <v>1000</v>
      </c>
      <c r="W41" s="116">
        <v>395</v>
      </c>
      <c r="X41" s="116">
        <v>2000</v>
      </c>
      <c r="Y41" s="116">
        <v>450</v>
      </c>
      <c r="Z41" s="117">
        <f t="shared" si="4"/>
        <v>1000</v>
      </c>
    </row>
    <row r="42" spans="1:28" s="81" customFormat="1" outlineLevel="2" x14ac:dyDescent="0.3">
      <c r="A42" s="90">
        <f t="shared" si="2"/>
        <v>7</v>
      </c>
      <c r="B42" s="653"/>
      <c r="C42" s="115"/>
      <c r="D42" s="116"/>
      <c r="E42" s="116"/>
      <c r="F42" s="116"/>
      <c r="G42" s="116"/>
      <c r="H42" s="116"/>
      <c r="I42" s="116"/>
      <c r="J42" s="116"/>
      <c r="K42" s="116"/>
      <c r="L42" s="117">
        <f t="shared" si="3"/>
        <v>0</v>
      </c>
      <c r="O42" s="90">
        <f t="shared" si="5"/>
        <v>7</v>
      </c>
      <c r="P42" s="653"/>
      <c r="Q42" s="115"/>
      <c r="R42" s="116"/>
      <c r="S42" s="116"/>
      <c r="T42" s="116"/>
      <c r="U42" s="116"/>
      <c r="V42" s="116"/>
      <c r="W42" s="116"/>
      <c r="X42" s="116"/>
      <c r="Y42" s="116"/>
      <c r="Z42" s="117">
        <f t="shared" si="4"/>
        <v>0</v>
      </c>
    </row>
    <row r="43" spans="1:28" s="81" customFormat="1" outlineLevel="2" x14ac:dyDescent="0.3">
      <c r="A43" s="90">
        <f t="shared" si="2"/>
        <v>8</v>
      </c>
      <c r="B43" s="655" t="s">
        <v>631</v>
      </c>
      <c r="C43" s="115"/>
      <c r="D43" s="116"/>
      <c r="E43" s="116"/>
      <c r="F43" s="116"/>
      <c r="G43" s="116"/>
      <c r="H43" s="116">
        <v>500</v>
      </c>
      <c r="I43" s="116"/>
      <c r="J43" s="116"/>
      <c r="K43" s="116"/>
      <c r="L43" s="117">
        <f t="shared" si="3"/>
        <v>-500</v>
      </c>
      <c r="O43" s="90">
        <f t="shared" si="5"/>
        <v>8</v>
      </c>
      <c r="P43" s="655" t="s">
        <v>631</v>
      </c>
      <c r="Q43" s="115">
        <v>3300</v>
      </c>
      <c r="R43" s="116"/>
      <c r="S43" s="116"/>
      <c r="T43" s="116">
        <v>2400</v>
      </c>
      <c r="U43" s="116"/>
      <c r="V43" s="116">
        <v>100</v>
      </c>
      <c r="W43" s="116">
        <v>200</v>
      </c>
      <c r="X43" s="116">
        <v>500</v>
      </c>
      <c r="Y43" s="116">
        <v>100</v>
      </c>
      <c r="Z43" s="117">
        <f t="shared" si="4"/>
        <v>0</v>
      </c>
    </row>
    <row r="44" spans="1:28" s="81" customFormat="1" ht="15" outlineLevel="2" thickBot="1" x14ac:dyDescent="0.35">
      <c r="A44" s="90"/>
      <c r="B44" s="654"/>
      <c r="C44" s="115"/>
      <c r="D44" s="116"/>
      <c r="E44" s="116"/>
      <c r="F44" s="116"/>
      <c r="G44" s="116"/>
      <c r="H44" s="116"/>
      <c r="I44" s="116"/>
      <c r="J44" s="116"/>
      <c r="K44" s="116"/>
      <c r="L44" s="117">
        <f t="shared" si="3"/>
        <v>0</v>
      </c>
      <c r="O44" s="90"/>
      <c r="P44" s="654"/>
      <c r="Q44" s="115"/>
      <c r="R44" s="116"/>
      <c r="S44" s="116"/>
      <c r="T44" s="116"/>
      <c r="U44" s="116"/>
      <c r="V44" s="116"/>
      <c r="W44" s="116"/>
      <c r="X44" s="116"/>
      <c r="Y44" s="116"/>
      <c r="Z44" s="117">
        <f t="shared" si="4"/>
        <v>0</v>
      </c>
    </row>
    <row r="45" spans="1:28" s="98" customFormat="1" ht="20.25" customHeight="1" thickBot="1" x14ac:dyDescent="0.35">
      <c r="A45" s="96"/>
      <c r="B45" s="97" t="s">
        <v>697</v>
      </c>
      <c r="C45" s="285">
        <f>SUBTOTAL(9,Tabelle444[Teilnahmebeiträge Fachseminare])</f>
        <v>46150</v>
      </c>
      <c r="D45" s="379">
        <f>SUBTOTAL(9,Tabelle444[Teilnahmebeiträge Veranstaltungen])</f>
        <v>0</v>
      </c>
      <c r="E45" s="379">
        <f>SUBTOTAL(9,Tabelle444[Sonstige Einnahmen])</f>
        <v>0</v>
      </c>
      <c r="F45" s="380">
        <f>SUBTOTAL(9,Tabelle444[Honorare Dozierende Fachseminare])</f>
        <v>40000</v>
      </c>
      <c r="G45" s="380">
        <f>SUBTOTAL(9,Tabelle444[Aufwandsentschädigungen])</f>
        <v>1800</v>
      </c>
      <c r="H45" s="380">
        <f>SUBTOTAL(9,Tabelle444[Externe Reisekosten])</f>
        <v>500</v>
      </c>
      <c r="I45" s="380">
        <f>SUBTOTAL(9,Tabelle444[Repräsentation/Bewirtung extern])</f>
        <v>0</v>
      </c>
      <c r="J45" s="380">
        <f>SUBTOTAL(9,Tabelle444[Raum + Unterkunft extern])</f>
        <v>0</v>
      </c>
      <c r="K45" s="380">
        <f>SUBTOTAL(9,Tabelle444[Verwaltungs- und Druckkosten])</f>
        <v>1340</v>
      </c>
      <c r="L45" s="666">
        <f>SUBTOTAL(9,Tabelle444[Gesamt])</f>
        <v>2510</v>
      </c>
      <c r="O45" s="96"/>
      <c r="P45" s="97" t="s">
        <v>697</v>
      </c>
      <c r="Q45" s="285">
        <f>SUBTOTAL(9,Tabelle4[Teilnahmebeiträge Fachseminare])</f>
        <v>56381</v>
      </c>
      <c r="R45" s="379">
        <f>SUBTOTAL(9,Tabelle4[Teilnahmebeiträge Veranstaltungen])</f>
        <v>0</v>
      </c>
      <c r="S45" s="379">
        <f>SUBTOTAL(9,Tabelle4[Sonstige Einnahmen])</f>
        <v>0</v>
      </c>
      <c r="T45" s="380">
        <f>SUBTOTAL(9,Tabelle4[Honorare Dozierende Fachseminare])</f>
        <v>45600</v>
      </c>
      <c r="U45" s="380">
        <f>SUBTOTAL(9,Tabelle4[Aufwandsentschädigungen])</f>
        <v>2550</v>
      </c>
      <c r="V45" s="380">
        <f>SUBTOTAL(9,Tabelle4[Externe Reisekosten])</f>
        <v>1100</v>
      </c>
      <c r="W45" s="380">
        <f>SUBTOTAL(9,Tabelle4[Repräsentation/Bewirtung extern])</f>
        <v>1013</v>
      </c>
      <c r="X45" s="380">
        <f>SUBTOTAL(9,Tabelle4[Raum + Unterkunft extern])</f>
        <v>2500</v>
      </c>
      <c r="Y45" s="380">
        <f>SUBTOTAL(9,Tabelle4[Verwaltungs- und Druckkosten])</f>
        <v>2618</v>
      </c>
      <c r="Z45" s="666">
        <f>SUBTOTAL(9,Tabelle4[Gesamt])</f>
        <v>1000</v>
      </c>
    </row>
    <row r="46" spans="1:28" ht="15" customHeight="1" x14ac:dyDescent="0.35">
      <c r="A46" s="11"/>
    </row>
    <row r="47" spans="1:28" s="75" customFormat="1" ht="15.6" x14ac:dyDescent="0.3">
      <c r="A47" s="7"/>
      <c r="B47" s="7" t="s">
        <v>746</v>
      </c>
      <c r="D47" s="6" t="s">
        <v>739</v>
      </c>
    </row>
    <row r="48" spans="1:28" ht="15.75" customHeight="1" thickBot="1" x14ac:dyDescent="0.4">
      <c r="A48" s="11"/>
    </row>
    <row r="49" spans="1:32" ht="15" thickBot="1" x14ac:dyDescent="0.35">
      <c r="A49" s="100"/>
      <c r="B49" s="142" t="s">
        <v>656</v>
      </c>
      <c r="C49" s="91" t="s">
        <v>83</v>
      </c>
      <c r="D49" s="92" t="s">
        <v>90</v>
      </c>
      <c r="E49" s="93" t="s">
        <v>136</v>
      </c>
      <c r="F49" s="93" t="s">
        <v>242</v>
      </c>
      <c r="G49" s="93" t="s">
        <v>266</v>
      </c>
      <c r="H49" s="93" t="s">
        <v>292</v>
      </c>
      <c r="I49" s="93" t="s">
        <v>364</v>
      </c>
      <c r="J49" s="93" t="s">
        <v>376</v>
      </c>
      <c r="K49" s="93" t="s">
        <v>386</v>
      </c>
      <c r="L49" s="93" t="s">
        <v>398</v>
      </c>
      <c r="M49" s="93" t="s">
        <v>424</v>
      </c>
      <c r="N49" s="657" t="s">
        <v>346</v>
      </c>
      <c r="O49" s="94"/>
      <c r="R49" s="100"/>
      <c r="S49" s="142" t="s">
        <v>656</v>
      </c>
      <c r="T49" s="91" t="s">
        <v>83</v>
      </c>
      <c r="U49" s="92" t="s">
        <v>90</v>
      </c>
      <c r="V49" s="93" t="s">
        <v>136</v>
      </c>
      <c r="W49" s="93" t="s">
        <v>242</v>
      </c>
      <c r="X49" s="93" t="s">
        <v>266</v>
      </c>
      <c r="Y49" s="93" t="s">
        <v>292</v>
      </c>
      <c r="Z49" s="93" t="s">
        <v>364</v>
      </c>
      <c r="AA49" s="93" t="s">
        <v>376</v>
      </c>
      <c r="AB49" s="93" t="s">
        <v>386</v>
      </c>
      <c r="AC49" s="93" t="s">
        <v>398</v>
      </c>
      <c r="AD49" s="93" t="s">
        <v>424</v>
      </c>
      <c r="AE49" s="657" t="s">
        <v>346</v>
      </c>
      <c r="AF49" s="94"/>
    </row>
    <row r="50" spans="1:32" ht="55.8" thickBot="1" x14ac:dyDescent="0.35">
      <c r="A50" s="101" t="s">
        <v>740</v>
      </c>
      <c r="B50" s="99" t="s">
        <v>747</v>
      </c>
      <c r="C50" s="102" t="s">
        <v>651</v>
      </c>
      <c r="D50" s="99" t="s">
        <v>743</v>
      </c>
      <c r="E50" s="99" t="s">
        <v>748</v>
      </c>
      <c r="F50" s="99" t="s">
        <v>644</v>
      </c>
      <c r="G50" s="99" t="s">
        <v>749</v>
      </c>
      <c r="H50" s="99" t="s">
        <v>750</v>
      </c>
      <c r="I50" s="99" t="s">
        <v>744</v>
      </c>
      <c r="J50" s="99" t="s">
        <v>745</v>
      </c>
      <c r="K50" s="99" t="s">
        <v>329</v>
      </c>
      <c r="L50" s="99" t="s">
        <v>310</v>
      </c>
      <c r="M50" s="99" t="s">
        <v>675</v>
      </c>
      <c r="N50" s="99" t="s">
        <v>318</v>
      </c>
      <c r="O50" s="103" t="s">
        <v>607</v>
      </c>
      <c r="R50" s="101" t="s">
        <v>740</v>
      </c>
      <c r="S50" s="99" t="s">
        <v>747</v>
      </c>
      <c r="T50" s="102" t="s">
        <v>651</v>
      </c>
      <c r="U50" s="99" t="s">
        <v>743</v>
      </c>
      <c r="V50" s="99" t="s">
        <v>748</v>
      </c>
      <c r="W50" s="99" t="s">
        <v>644</v>
      </c>
      <c r="X50" s="99" t="s">
        <v>749</v>
      </c>
      <c r="Y50" s="99" t="s">
        <v>750</v>
      </c>
      <c r="Z50" s="99" t="s">
        <v>744</v>
      </c>
      <c r="AA50" s="99" t="s">
        <v>745</v>
      </c>
      <c r="AB50" s="99" t="s">
        <v>329</v>
      </c>
      <c r="AC50" s="99" t="s">
        <v>310</v>
      </c>
      <c r="AD50" s="99" t="s">
        <v>675</v>
      </c>
      <c r="AE50" s="99" t="s">
        <v>318</v>
      </c>
      <c r="AF50" s="103" t="s">
        <v>607</v>
      </c>
    </row>
    <row r="51" spans="1:32" s="81" customFormat="1" outlineLevel="1" x14ac:dyDescent="0.3">
      <c r="A51" s="259">
        <f>ROW(A1)</f>
        <v>1</v>
      </c>
      <c r="B51" s="260" t="s">
        <v>751</v>
      </c>
      <c r="C51" s="381">
        <v>0</v>
      </c>
      <c r="D51" s="382">
        <v>0</v>
      </c>
      <c r="E51" s="382"/>
      <c r="F51" s="382"/>
      <c r="G51" s="382"/>
      <c r="H51" s="382"/>
      <c r="I51" s="382"/>
      <c r="J51" s="382"/>
      <c r="K51" s="382"/>
      <c r="L51" s="382">
        <v>140</v>
      </c>
      <c r="M51" s="382"/>
      <c r="N51" s="382"/>
      <c r="O51" s="283">
        <f t="shared" ref="O51:O61" si="6">SUM(C51+D51)-SUM(E51:M51)</f>
        <v>-140</v>
      </c>
      <c r="R51" s="259">
        <f t="shared" ref="R51:R61" si="7">ROW(A1)</f>
        <v>1</v>
      </c>
      <c r="S51" s="260" t="s">
        <v>751</v>
      </c>
      <c r="T51" s="381">
        <v>0</v>
      </c>
      <c r="U51" s="382">
        <v>0</v>
      </c>
      <c r="V51" s="382"/>
      <c r="W51" s="382"/>
      <c r="X51" s="382"/>
      <c r="Y51" s="382"/>
      <c r="Z51" s="382"/>
      <c r="AA51" s="382"/>
      <c r="AB51" s="382"/>
      <c r="AC51" s="382">
        <v>160</v>
      </c>
      <c r="AD51" s="382"/>
      <c r="AE51" s="382"/>
      <c r="AF51" s="283">
        <f t="shared" ref="AF51:AF61" si="8">SUM(T51+U51)-SUM(V51:AD51)</f>
        <v>-160</v>
      </c>
    </row>
    <row r="52" spans="1:32" s="81" customFormat="1" ht="27.6" outlineLevel="1" x14ac:dyDescent="0.3">
      <c r="A52" s="259">
        <f t="shared" ref="A52:A61" si="9">ROW(A2)</f>
        <v>2</v>
      </c>
      <c r="B52" s="296" t="s">
        <v>752</v>
      </c>
      <c r="C52" s="124"/>
      <c r="D52" s="125"/>
      <c r="E52" s="998">
        <v>500</v>
      </c>
      <c r="F52" s="998">
        <v>1200</v>
      </c>
      <c r="G52" s="998">
        <v>300</v>
      </c>
      <c r="H52" s="998">
        <v>100</v>
      </c>
      <c r="I52" s="998">
        <v>200</v>
      </c>
      <c r="J52" s="999"/>
      <c r="K52" s="998">
        <v>100</v>
      </c>
      <c r="L52" s="998">
        <v>500</v>
      </c>
      <c r="M52" s="999"/>
      <c r="N52" s="999"/>
      <c r="O52" s="267">
        <f t="shared" si="6"/>
        <v>-2900</v>
      </c>
      <c r="R52" s="259">
        <f t="shared" si="7"/>
        <v>2</v>
      </c>
      <c r="S52" s="296" t="s">
        <v>752</v>
      </c>
      <c r="T52" s="124"/>
      <c r="U52" s="125"/>
      <c r="V52" s="125">
        <v>500</v>
      </c>
      <c r="W52" s="125">
        <v>1200</v>
      </c>
      <c r="X52" s="125">
        <v>300</v>
      </c>
      <c r="Y52" s="125">
        <v>100</v>
      </c>
      <c r="Z52" s="125">
        <v>200</v>
      </c>
      <c r="AA52" s="125"/>
      <c r="AB52" s="125">
        <v>100</v>
      </c>
      <c r="AC52" s="125">
        <v>500</v>
      </c>
      <c r="AD52" s="125"/>
      <c r="AE52" s="125"/>
      <c r="AF52" s="267">
        <f t="shared" si="8"/>
        <v>-2900</v>
      </c>
    </row>
    <row r="53" spans="1:32" s="81" customFormat="1" outlineLevel="1" x14ac:dyDescent="0.3">
      <c r="A53" s="259">
        <f t="shared" si="9"/>
        <v>3</v>
      </c>
      <c r="B53" s="260"/>
      <c r="C53" s="261"/>
      <c r="D53" s="262"/>
      <c r="E53" s="262"/>
      <c r="F53" s="262"/>
      <c r="G53" s="262"/>
      <c r="H53" s="262"/>
      <c r="I53" s="262"/>
      <c r="J53" s="262"/>
      <c r="K53" s="262"/>
      <c r="L53" s="262"/>
      <c r="M53" s="262">
        <v>0</v>
      </c>
      <c r="N53" s="262"/>
      <c r="O53" s="267">
        <f t="shared" si="6"/>
        <v>0</v>
      </c>
      <c r="R53" s="259">
        <f t="shared" si="7"/>
        <v>3</v>
      </c>
      <c r="S53" s="260"/>
      <c r="T53" s="261"/>
      <c r="U53" s="262"/>
      <c r="V53" s="262"/>
      <c r="W53" s="262"/>
      <c r="X53" s="262"/>
      <c r="Y53" s="262"/>
      <c r="Z53" s="262"/>
      <c r="AA53" s="262"/>
      <c r="AB53" s="262"/>
      <c r="AC53" s="262"/>
      <c r="AD53" s="262">
        <v>0</v>
      </c>
      <c r="AE53" s="262"/>
      <c r="AF53" s="267">
        <f t="shared" si="8"/>
        <v>0</v>
      </c>
    </row>
    <row r="54" spans="1:32" s="81" customFormat="1" ht="55.2" outlineLevel="1" x14ac:dyDescent="0.3">
      <c r="A54" s="259">
        <f t="shared" si="9"/>
        <v>4</v>
      </c>
      <c r="B54" s="260" t="s">
        <v>753</v>
      </c>
      <c r="C54" s="261"/>
      <c r="D54" s="262"/>
      <c r="E54" s="262"/>
      <c r="F54" s="262"/>
      <c r="G54" s="262"/>
      <c r="H54" s="262"/>
      <c r="I54" s="262"/>
      <c r="J54" s="262"/>
      <c r="K54" s="262">
        <v>1300</v>
      </c>
      <c r="L54" s="262">
        <v>100</v>
      </c>
      <c r="M54" s="262"/>
      <c r="N54" s="262"/>
      <c r="O54" s="267">
        <f t="shared" si="6"/>
        <v>-1400</v>
      </c>
      <c r="R54" s="259">
        <f t="shared" si="7"/>
        <v>4</v>
      </c>
      <c r="S54" s="260" t="s">
        <v>753</v>
      </c>
      <c r="T54" s="261"/>
      <c r="U54" s="262"/>
      <c r="V54" s="262"/>
      <c r="W54" s="262"/>
      <c r="X54" s="262"/>
      <c r="Y54" s="262"/>
      <c r="Z54" s="262"/>
      <c r="AA54" s="262"/>
      <c r="AB54" s="262">
        <v>300</v>
      </c>
      <c r="AC54" s="262">
        <v>100</v>
      </c>
      <c r="AD54" s="262"/>
      <c r="AE54" s="262"/>
      <c r="AF54" s="267">
        <f t="shared" si="8"/>
        <v>-400</v>
      </c>
    </row>
    <row r="55" spans="1:32" s="81" customFormat="1" ht="41.4" outlineLevel="1" x14ac:dyDescent="0.3">
      <c r="A55" s="259">
        <f t="shared" si="9"/>
        <v>5</v>
      </c>
      <c r="B55" s="260" t="s">
        <v>754</v>
      </c>
      <c r="C55" s="261"/>
      <c r="D55" s="262"/>
      <c r="E55" s="262">
        <v>640</v>
      </c>
      <c r="F55" s="262">
        <v>1200</v>
      </c>
      <c r="G55" s="262">
        <v>400</v>
      </c>
      <c r="H55" s="262"/>
      <c r="I55" s="262">
        <v>100</v>
      </c>
      <c r="J55" s="262"/>
      <c r="K55" s="262"/>
      <c r="L55" s="262">
        <v>640</v>
      </c>
      <c r="M55" s="262"/>
      <c r="N55" s="262"/>
      <c r="O55" s="267">
        <f t="shared" si="6"/>
        <v>-2980</v>
      </c>
      <c r="R55" s="259">
        <f t="shared" si="7"/>
        <v>5</v>
      </c>
      <c r="S55" s="260" t="s">
        <v>754</v>
      </c>
      <c r="T55" s="261"/>
      <c r="U55" s="262"/>
      <c r="V55" s="262">
        <v>640</v>
      </c>
      <c r="W55" s="262">
        <v>1200</v>
      </c>
      <c r="X55" s="262">
        <v>400</v>
      </c>
      <c r="Y55" s="262"/>
      <c r="Z55" s="262">
        <v>60</v>
      </c>
      <c r="AA55" s="262"/>
      <c r="AB55" s="262"/>
      <c r="AC55" s="262">
        <v>640</v>
      </c>
      <c r="AD55" s="262"/>
      <c r="AE55" s="262"/>
      <c r="AF55" s="267">
        <f t="shared" si="8"/>
        <v>-2940</v>
      </c>
    </row>
    <row r="56" spans="1:32" s="81" customFormat="1" outlineLevel="1" x14ac:dyDescent="0.3">
      <c r="A56" s="259">
        <f t="shared" si="9"/>
        <v>6</v>
      </c>
      <c r="B56" s="260"/>
      <c r="C56" s="261"/>
      <c r="D56" s="262"/>
      <c r="E56" s="262"/>
      <c r="F56" s="262"/>
      <c r="G56" s="262"/>
      <c r="H56" s="262"/>
      <c r="I56" s="262"/>
      <c r="J56" s="262"/>
      <c r="K56" s="262"/>
      <c r="L56" s="262"/>
      <c r="M56" s="262"/>
      <c r="N56" s="262"/>
      <c r="O56" s="267">
        <f t="shared" si="6"/>
        <v>0</v>
      </c>
      <c r="R56" s="259">
        <f t="shared" si="7"/>
        <v>6</v>
      </c>
      <c r="S56" s="260"/>
      <c r="T56" s="261"/>
      <c r="U56" s="262"/>
      <c r="V56" s="262"/>
      <c r="W56" s="262"/>
      <c r="X56" s="262"/>
      <c r="Y56" s="262"/>
      <c r="Z56" s="262"/>
      <c r="AA56" s="262"/>
      <c r="AB56" s="262"/>
      <c r="AC56" s="262"/>
      <c r="AD56" s="262"/>
      <c r="AE56" s="262"/>
      <c r="AF56" s="267">
        <f t="shared" si="8"/>
        <v>0</v>
      </c>
    </row>
    <row r="57" spans="1:32" s="81" customFormat="1" outlineLevel="1" x14ac:dyDescent="0.3">
      <c r="A57" s="259">
        <f t="shared" si="9"/>
        <v>7</v>
      </c>
      <c r="B57" s="260"/>
      <c r="C57" s="261"/>
      <c r="D57" s="262"/>
      <c r="E57" s="262"/>
      <c r="F57" s="262"/>
      <c r="G57" s="262"/>
      <c r="H57" s="262"/>
      <c r="I57" s="262"/>
      <c r="J57" s="262"/>
      <c r="K57" s="262"/>
      <c r="L57" s="262"/>
      <c r="M57" s="262"/>
      <c r="N57" s="262"/>
      <c r="O57" s="267">
        <f t="shared" si="6"/>
        <v>0</v>
      </c>
      <c r="R57" s="259">
        <f t="shared" si="7"/>
        <v>7</v>
      </c>
      <c r="S57" s="260"/>
      <c r="T57" s="261"/>
      <c r="U57" s="262"/>
      <c r="V57" s="262"/>
      <c r="W57" s="262"/>
      <c r="X57" s="262"/>
      <c r="Y57" s="262"/>
      <c r="Z57" s="262"/>
      <c r="AA57" s="262"/>
      <c r="AB57" s="262"/>
      <c r="AC57" s="262"/>
      <c r="AD57" s="262"/>
      <c r="AE57" s="262"/>
      <c r="AF57" s="267">
        <f t="shared" si="8"/>
        <v>0</v>
      </c>
    </row>
    <row r="58" spans="1:32" s="81" customFormat="1" outlineLevel="1" x14ac:dyDescent="0.3">
      <c r="A58" s="259">
        <f t="shared" si="9"/>
        <v>8</v>
      </c>
      <c r="B58" s="260"/>
      <c r="C58" s="261"/>
      <c r="D58" s="262"/>
      <c r="E58" s="262"/>
      <c r="F58" s="262"/>
      <c r="G58" s="262"/>
      <c r="H58" s="262"/>
      <c r="I58" s="262"/>
      <c r="J58" s="262"/>
      <c r="K58" s="262"/>
      <c r="L58" s="262"/>
      <c r="M58" s="262"/>
      <c r="N58" s="262"/>
      <c r="O58" s="267">
        <f t="shared" si="6"/>
        <v>0</v>
      </c>
      <c r="R58" s="259">
        <f t="shared" si="7"/>
        <v>8</v>
      </c>
      <c r="S58" s="260"/>
      <c r="T58" s="261"/>
      <c r="U58" s="262"/>
      <c r="V58" s="262"/>
      <c r="W58" s="262"/>
      <c r="X58" s="262"/>
      <c r="Y58" s="262"/>
      <c r="Z58" s="262"/>
      <c r="AA58" s="262"/>
      <c r="AB58" s="262"/>
      <c r="AC58" s="262"/>
      <c r="AD58" s="262"/>
      <c r="AE58" s="262"/>
      <c r="AF58" s="267">
        <f t="shared" si="8"/>
        <v>0</v>
      </c>
    </row>
    <row r="59" spans="1:32" s="81" customFormat="1" outlineLevel="1" x14ac:dyDescent="0.3">
      <c r="A59" s="259">
        <f t="shared" si="9"/>
        <v>9</v>
      </c>
      <c r="B59" s="260"/>
      <c r="C59" s="261"/>
      <c r="D59" s="262"/>
      <c r="E59" s="262"/>
      <c r="F59" s="262"/>
      <c r="G59" s="262"/>
      <c r="H59" s="262"/>
      <c r="I59" s="262"/>
      <c r="J59" s="262"/>
      <c r="K59" s="262"/>
      <c r="L59" s="262"/>
      <c r="M59" s="262"/>
      <c r="N59" s="262"/>
      <c r="O59" s="267">
        <f t="shared" si="6"/>
        <v>0</v>
      </c>
      <c r="R59" s="259">
        <f t="shared" si="7"/>
        <v>9</v>
      </c>
      <c r="S59" s="260"/>
      <c r="T59" s="261"/>
      <c r="U59" s="262"/>
      <c r="V59" s="262"/>
      <c r="W59" s="262"/>
      <c r="X59" s="262"/>
      <c r="Y59" s="262"/>
      <c r="Z59" s="262"/>
      <c r="AA59" s="262"/>
      <c r="AB59" s="262"/>
      <c r="AC59" s="262"/>
      <c r="AD59" s="262"/>
      <c r="AE59" s="262"/>
      <c r="AF59" s="267">
        <f t="shared" si="8"/>
        <v>0</v>
      </c>
    </row>
    <row r="60" spans="1:32" s="81" customFormat="1" outlineLevel="1" x14ac:dyDescent="0.3">
      <c r="A60" s="259">
        <f t="shared" si="9"/>
        <v>10</v>
      </c>
      <c r="B60" s="260"/>
      <c r="C60" s="261"/>
      <c r="D60" s="262"/>
      <c r="E60" s="262"/>
      <c r="F60" s="262"/>
      <c r="G60" s="262"/>
      <c r="H60" s="262"/>
      <c r="I60" s="262"/>
      <c r="J60" s="262"/>
      <c r="K60" s="262"/>
      <c r="L60" s="262"/>
      <c r="M60" s="262"/>
      <c r="N60" s="262"/>
      <c r="O60" s="267">
        <f t="shared" si="6"/>
        <v>0</v>
      </c>
      <c r="R60" s="259">
        <f t="shared" si="7"/>
        <v>10</v>
      </c>
      <c r="S60" s="260"/>
      <c r="T60" s="261"/>
      <c r="U60" s="262"/>
      <c r="V60" s="262"/>
      <c r="W60" s="262"/>
      <c r="X60" s="262"/>
      <c r="Y60" s="262"/>
      <c r="Z60" s="262"/>
      <c r="AA60" s="262"/>
      <c r="AB60" s="262"/>
      <c r="AC60" s="262"/>
      <c r="AD60" s="262"/>
      <c r="AE60" s="262"/>
      <c r="AF60" s="267">
        <f t="shared" si="8"/>
        <v>0</v>
      </c>
    </row>
    <row r="61" spans="1:32" ht="15" outlineLevel="1" thickBot="1" x14ac:dyDescent="0.35">
      <c r="A61" s="259">
        <f t="shared" si="9"/>
        <v>11</v>
      </c>
      <c r="B61" s="105" t="s">
        <v>606</v>
      </c>
      <c r="C61" s="126">
        <v>0</v>
      </c>
      <c r="D61" s="127">
        <v>0</v>
      </c>
      <c r="E61" s="127">
        <v>1400</v>
      </c>
      <c r="F61" s="127">
        <v>2500</v>
      </c>
      <c r="G61" s="127">
        <v>800</v>
      </c>
      <c r="H61" s="127">
        <v>200</v>
      </c>
      <c r="I61" s="127">
        <v>200</v>
      </c>
      <c r="J61" s="127">
        <v>500</v>
      </c>
      <c r="K61" s="127">
        <v>1000</v>
      </c>
      <c r="L61" s="127">
        <v>2000</v>
      </c>
      <c r="M61" s="127">
        <v>500</v>
      </c>
      <c r="N61" s="658">
        <v>2000</v>
      </c>
      <c r="O61" s="269">
        <f t="shared" si="6"/>
        <v>-9100</v>
      </c>
      <c r="R61" s="104">
        <f t="shared" si="7"/>
        <v>11</v>
      </c>
      <c r="S61" s="105" t="s">
        <v>606</v>
      </c>
      <c r="T61" s="126">
        <v>0</v>
      </c>
      <c r="U61" s="127">
        <v>0</v>
      </c>
      <c r="V61" s="127">
        <v>1400</v>
      </c>
      <c r="W61" s="127">
        <v>2500</v>
      </c>
      <c r="X61" s="127">
        <v>800</v>
      </c>
      <c r="Y61" s="127">
        <v>200</v>
      </c>
      <c r="Z61" s="127">
        <v>200</v>
      </c>
      <c r="AA61" s="127">
        <v>500</v>
      </c>
      <c r="AB61" s="127">
        <v>600</v>
      </c>
      <c r="AC61" s="127">
        <v>1120</v>
      </c>
      <c r="AD61" s="127">
        <v>600</v>
      </c>
      <c r="AE61" s="658">
        <v>1000</v>
      </c>
      <c r="AF61" s="269">
        <f t="shared" si="8"/>
        <v>-7920</v>
      </c>
    </row>
    <row r="62" spans="1:32" ht="23.25" customHeight="1" thickBot="1" x14ac:dyDescent="0.35">
      <c r="A62" s="106"/>
      <c r="B62" s="107" t="s">
        <v>697</v>
      </c>
      <c r="C62" s="285">
        <f>SUBTOTAL(9,Tabelle546[Teilnahmebeiträge Veranstaltungen])</f>
        <v>0</v>
      </c>
      <c r="D62" s="379">
        <f>SUBTOTAL(9,Tabelle546[Sonstige Einnahmen])</f>
        <v>0</v>
      </c>
      <c r="E62" s="380">
        <f>SUBTOTAL(9,Tabelle546[Aufwandsentschädigungen])</f>
        <v>2540</v>
      </c>
      <c r="F62" s="380">
        <f>SUBTOTAL(9,Tabelle546[Interne Reisekosten])</f>
        <v>4900</v>
      </c>
      <c r="G62" s="380">
        <f>SUBTOTAL(9,Tabelle546[Raum + Unterkunft intern])</f>
        <v>1500</v>
      </c>
      <c r="H62" s="380">
        <f>SUBTOTAL(9,Tabelle546[Repräsentation/Bewirtung intern])</f>
        <v>300</v>
      </c>
      <c r="I62" s="380">
        <f>SUBTOTAL(9,Tabelle546[Repräsentation/Bewirtung extern])</f>
        <v>500</v>
      </c>
      <c r="J62" s="380">
        <f>SUBTOTAL(9,Tabelle546[Raum + Unterkunft extern])</f>
        <v>500</v>
      </c>
      <c r="K62" s="380">
        <f>SUBTOTAL(9,Tabelle546[Druckkosten])</f>
        <v>2400</v>
      </c>
      <c r="L62" s="380">
        <f>SUBTOTAL(9,Tabelle546[Sonstige Kosten])</f>
        <v>3380</v>
      </c>
      <c r="M62" s="380">
        <f>SUBTOTAL(9,Tabelle546[Rechtsangelegenheiten])</f>
        <v>500</v>
      </c>
      <c r="N62" s="380">
        <f>SUBTOTAL(109,Tabelle546[Andere Honorare])</f>
        <v>2000</v>
      </c>
      <c r="O62" s="673">
        <f>SUBTOTAL(9,Tabelle546[Gesamt])</f>
        <v>-16520</v>
      </c>
      <c r="R62" s="106"/>
      <c r="S62" s="107" t="s">
        <v>697</v>
      </c>
      <c r="T62" s="285">
        <f>SUBTOTAL(9,Tabelle5[Teilnahmebeiträge Veranstaltungen])</f>
        <v>0</v>
      </c>
      <c r="U62" s="379">
        <f>SUBTOTAL(9,Tabelle5[Sonstige Einnahmen])</f>
        <v>0</v>
      </c>
      <c r="V62" s="380">
        <f>SUBTOTAL(9,Tabelle5[Aufwandsentschädigungen])</f>
        <v>2540</v>
      </c>
      <c r="W62" s="380">
        <f>SUBTOTAL(9,Tabelle5[Interne Reisekosten])</f>
        <v>4900</v>
      </c>
      <c r="X62" s="380">
        <f>SUBTOTAL(9,Tabelle5[Raum + Unterkunft intern])</f>
        <v>1500</v>
      </c>
      <c r="Y62" s="380">
        <f>SUBTOTAL(9,Tabelle5[Repräsentation/Bewirtung intern])</f>
        <v>300</v>
      </c>
      <c r="Z62" s="380">
        <f>SUBTOTAL(9,Tabelle5[Repräsentation/Bewirtung extern])</f>
        <v>460</v>
      </c>
      <c r="AA62" s="380">
        <f>SUBTOTAL(9,Tabelle5[Raum + Unterkunft extern])</f>
        <v>500</v>
      </c>
      <c r="AB62" s="380">
        <f>SUBTOTAL(9,Tabelle5[Druckkosten])</f>
        <v>1000</v>
      </c>
      <c r="AC62" s="380">
        <f>SUBTOTAL(9,Tabelle5[Sonstige Kosten])</f>
        <v>2520</v>
      </c>
      <c r="AD62" s="380">
        <f>SUBTOTAL(9,Tabelle5[Rechtsangelegenheiten])</f>
        <v>600</v>
      </c>
      <c r="AE62" s="380">
        <f>SUBTOTAL(109,Tabelle5[Andere Honorare])</f>
        <v>1000</v>
      </c>
      <c r="AF62" s="673">
        <f>SUBTOTAL(9,Tabelle5[Gesamt])</f>
        <v>-14320</v>
      </c>
    </row>
    <row r="63" spans="1:32" ht="18" x14ac:dyDescent="0.35">
      <c r="A63" s="11"/>
    </row>
    <row r="64" spans="1:32" ht="15.6" x14ac:dyDescent="0.3">
      <c r="A64" s="7"/>
      <c r="B64" s="7" t="s">
        <v>755</v>
      </c>
      <c r="D64" s="6" t="s">
        <v>739</v>
      </c>
    </row>
    <row r="65" spans="1:20" ht="18.600000000000001" thickBot="1" x14ac:dyDescent="0.4">
      <c r="A65" s="11"/>
    </row>
    <row r="66" spans="1:20" ht="15.6" thickTop="1" thickBot="1" x14ac:dyDescent="0.35">
      <c r="A66" s="108"/>
      <c r="B66" s="140"/>
      <c r="C66" s="141"/>
      <c r="D66" s="144" t="s">
        <v>656</v>
      </c>
      <c r="E66" s="109" t="s">
        <v>136</v>
      </c>
      <c r="F66" s="110" t="s">
        <v>242</v>
      </c>
      <c r="G66" s="110" t="s">
        <v>266</v>
      </c>
      <c r="H66" s="110" t="s">
        <v>292</v>
      </c>
      <c r="I66" s="111"/>
      <c r="L66" s="108"/>
      <c r="M66" s="140"/>
      <c r="N66" s="141"/>
      <c r="O66" s="144" t="s">
        <v>656</v>
      </c>
      <c r="P66" s="109" t="s">
        <v>136</v>
      </c>
      <c r="Q66" s="110" t="s">
        <v>242</v>
      </c>
      <c r="R66" s="110" t="s">
        <v>266</v>
      </c>
      <c r="S66" s="110" t="s">
        <v>292</v>
      </c>
      <c r="T66" s="111"/>
    </row>
    <row r="67" spans="1:20" ht="42" thickBot="1" x14ac:dyDescent="0.35">
      <c r="A67" s="112" t="s">
        <v>756</v>
      </c>
      <c r="B67" s="112" t="s">
        <v>757</v>
      </c>
      <c r="C67" s="143" t="s">
        <v>758</v>
      </c>
      <c r="D67" s="112" t="s">
        <v>533</v>
      </c>
      <c r="E67" s="375" t="s">
        <v>748</v>
      </c>
      <c r="F67" s="376" t="s">
        <v>644</v>
      </c>
      <c r="G67" s="376" t="s">
        <v>749</v>
      </c>
      <c r="H67" s="376" t="s">
        <v>750</v>
      </c>
      <c r="I67" s="672" t="s">
        <v>607</v>
      </c>
      <c r="L67" s="112" t="s">
        <v>756</v>
      </c>
      <c r="M67" s="112" t="s">
        <v>757</v>
      </c>
      <c r="N67" s="143" t="s">
        <v>758</v>
      </c>
      <c r="O67" s="112" t="s">
        <v>533</v>
      </c>
      <c r="P67" s="375" t="s">
        <v>748</v>
      </c>
      <c r="Q67" s="376" t="s">
        <v>644</v>
      </c>
      <c r="R67" s="376" t="s">
        <v>749</v>
      </c>
      <c r="S67" s="376" t="s">
        <v>750</v>
      </c>
      <c r="T67" s="672" t="s">
        <v>607</v>
      </c>
    </row>
    <row r="68" spans="1:20" s="81" customFormat="1" ht="140.25" customHeight="1" outlineLevel="1" x14ac:dyDescent="0.3">
      <c r="A68" s="263">
        <f>ROW(A1)</f>
        <v>1</v>
      </c>
      <c r="B68" s="1000" t="s">
        <v>1224</v>
      </c>
      <c r="C68" s="98"/>
      <c r="D68" s="296"/>
      <c r="E68" s="383"/>
      <c r="F68" s="288"/>
      <c r="G68" s="288"/>
      <c r="H68" s="288"/>
      <c r="I68" s="283">
        <f t="shared" ref="I68:I75" si="10">SUM(E68:H68)</f>
        <v>0</v>
      </c>
      <c r="L68" s="263">
        <f t="shared" ref="L68:L84" si="11">ROW(A1)</f>
        <v>1</v>
      </c>
      <c r="M68" s="296" t="s">
        <v>1224</v>
      </c>
      <c r="N68" s="98"/>
      <c r="O68" s="296"/>
      <c r="P68" s="383"/>
      <c r="Q68" s="288"/>
      <c r="R68" s="288"/>
      <c r="S68" s="288"/>
      <c r="T68" s="283">
        <f t="shared" ref="T68:T75" si="12">SUM(P68:S68)</f>
        <v>0</v>
      </c>
    </row>
    <row r="69" spans="1:20" s="81" customFormat="1" outlineLevel="1" x14ac:dyDescent="0.3">
      <c r="A69" s="263">
        <f t="shared" ref="A69:A84" si="13">ROW(A2)</f>
        <v>2</v>
      </c>
      <c r="B69" s="98" t="s">
        <v>759</v>
      </c>
      <c r="C69" s="98" t="s">
        <v>760</v>
      </c>
      <c r="D69" s="98" t="s">
        <v>770</v>
      </c>
      <c r="E69" s="124">
        <v>400</v>
      </c>
      <c r="F69" s="125">
        <v>0</v>
      </c>
      <c r="G69" s="125">
        <v>0</v>
      </c>
      <c r="H69" s="125">
        <v>0</v>
      </c>
      <c r="I69" s="267">
        <f t="shared" si="10"/>
        <v>400</v>
      </c>
      <c r="L69" s="263">
        <f t="shared" si="11"/>
        <v>2</v>
      </c>
      <c r="M69" s="98" t="s">
        <v>759</v>
      </c>
      <c r="N69" s="98" t="s">
        <v>760</v>
      </c>
      <c r="O69" s="98" t="s">
        <v>770</v>
      </c>
      <c r="P69" s="124">
        <v>400</v>
      </c>
      <c r="Q69" s="125">
        <v>0</v>
      </c>
      <c r="R69" s="125">
        <v>0</v>
      </c>
      <c r="S69" s="125">
        <v>0</v>
      </c>
      <c r="T69" s="267">
        <f t="shared" si="12"/>
        <v>400</v>
      </c>
    </row>
    <row r="70" spans="1:20" s="81" customFormat="1" outlineLevel="1" x14ac:dyDescent="0.3">
      <c r="A70" s="263">
        <f t="shared" si="13"/>
        <v>3</v>
      </c>
      <c r="B70" s="98" t="s">
        <v>759</v>
      </c>
      <c r="C70" s="98" t="s">
        <v>760</v>
      </c>
      <c r="D70" s="98" t="s">
        <v>764</v>
      </c>
      <c r="E70" s="124">
        <v>800</v>
      </c>
      <c r="F70" s="125">
        <v>1500</v>
      </c>
      <c r="G70" s="125">
        <v>384</v>
      </c>
      <c r="H70" s="125">
        <v>200</v>
      </c>
      <c r="I70" s="267">
        <f t="shared" si="10"/>
        <v>2884</v>
      </c>
      <c r="L70" s="263">
        <f t="shared" si="11"/>
        <v>3</v>
      </c>
      <c r="M70" s="98" t="s">
        <v>759</v>
      </c>
      <c r="N70" s="98" t="s">
        <v>760</v>
      </c>
      <c r="O70" s="98" t="s">
        <v>764</v>
      </c>
      <c r="P70" s="124">
        <v>800</v>
      </c>
      <c r="Q70" s="125">
        <v>1500</v>
      </c>
      <c r="R70" s="125">
        <v>384</v>
      </c>
      <c r="S70" s="125">
        <v>100</v>
      </c>
      <c r="T70" s="267">
        <f t="shared" si="12"/>
        <v>2784</v>
      </c>
    </row>
    <row r="71" spans="1:20" s="81" customFormat="1" outlineLevel="1" x14ac:dyDescent="0.3">
      <c r="A71" s="263">
        <f t="shared" si="13"/>
        <v>4</v>
      </c>
      <c r="B71" s="98" t="s">
        <v>759</v>
      </c>
      <c r="C71" s="98" t="s">
        <v>760</v>
      </c>
      <c r="D71" s="98" t="s">
        <v>761</v>
      </c>
      <c r="E71" s="124">
        <v>600</v>
      </c>
      <c r="F71" s="125">
        <v>750</v>
      </c>
      <c r="G71" s="125">
        <v>192</v>
      </c>
      <c r="H71" s="125">
        <v>100</v>
      </c>
      <c r="I71" s="267">
        <f t="shared" si="10"/>
        <v>1642</v>
      </c>
      <c r="L71" s="263">
        <f t="shared" si="11"/>
        <v>4</v>
      </c>
      <c r="M71" s="98" t="s">
        <v>759</v>
      </c>
      <c r="N71" s="98" t="s">
        <v>760</v>
      </c>
      <c r="O71" s="98" t="s">
        <v>761</v>
      </c>
      <c r="P71" s="124">
        <v>600</v>
      </c>
      <c r="Q71" s="125">
        <v>750</v>
      </c>
      <c r="R71" s="125">
        <v>192</v>
      </c>
      <c r="S71" s="125">
        <v>50</v>
      </c>
      <c r="T71" s="267">
        <f t="shared" si="12"/>
        <v>1592</v>
      </c>
    </row>
    <row r="72" spans="1:20" s="81" customFormat="1" outlineLevel="1" x14ac:dyDescent="0.3">
      <c r="A72" s="263">
        <f t="shared" si="13"/>
        <v>5</v>
      </c>
      <c r="B72" s="98" t="s">
        <v>1225</v>
      </c>
      <c r="C72" s="98" t="s">
        <v>760</v>
      </c>
      <c r="D72" s="98" t="s">
        <v>761</v>
      </c>
      <c r="E72" s="124">
        <v>1800</v>
      </c>
      <c r="F72" s="125">
        <v>2250</v>
      </c>
      <c r="G72" s="125">
        <v>576</v>
      </c>
      <c r="H72" s="125">
        <v>300</v>
      </c>
      <c r="I72" s="267">
        <f t="shared" si="10"/>
        <v>4926</v>
      </c>
      <c r="L72" s="263">
        <f t="shared" si="11"/>
        <v>5</v>
      </c>
      <c r="M72" s="98" t="s">
        <v>1225</v>
      </c>
      <c r="N72" s="98" t="s">
        <v>760</v>
      </c>
      <c r="O72" s="98" t="s">
        <v>761</v>
      </c>
      <c r="P72" s="124">
        <v>1800</v>
      </c>
      <c r="Q72" s="125">
        <v>2250</v>
      </c>
      <c r="R72" s="125">
        <v>576</v>
      </c>
      <c r="S72" s="125">
        <v>150</v>
      </c>
      <c r="T72" s="267">
        <f t="shared" si="12"/>
        <v>4776</v>
      </c>
    </row>
    <row r="73" spans="1:20" s="81" customFormat="1" ht="105" customHeight="1" outlineLevel="1" x14ac:dyDescent="0.3">
      <c r="A73" s="263">
        <f t="shared" si="13"/>
        <v>6</v>
      </c>
      <c r="B73" s="296" t="s">
        <v>1226</v>
      </c>
      <c r="C73" s="98" t="s">
        <v>760</v>
      </c>
      <c r="D73" s="98" t="s">
        <v>761</v>
      </c>
      <c r="E73" s="124">
        <v>1000</v>
      </c>
      <c r="F73" s="125">
        <v>1000</v>
      </c>
      <c r="G73" s="125">
        <v>500</v>
      </c>
      <c r="H73" s="125">
        <v>200</v>
      </c>
      <c r="I73" s="267">
        <f t="shared" si="10"/>
        <v>2700</v>
      </c>
      <c r="L73" s="263">
        <f t="shared" si="11"/>
        <v>6</v>
      </c>
      <c r="M73" s="296" t="s">
        <v>1226</v>
      </c>
      <c r="N73" s="98" t="s">
        <v>760</v>
      </c>
      <c r="O73" s="98" t="s">
        <v>761</v>
      </c>
      <c r="P73" s="124">
        <v>1000</v>
      </c>
      <c r="Q73" s="125">
        <v>1000</v>
      </c>
      <c r="R73" s="125">
        <v>500</v>
      </c>
      <c r="S73" s="125">
        <v>100</v>
      </c>
      <c r="T73" s="267">
        <f t="shared" si="12"/>
        <v>2600</v>
      </c>
    </row>
    <row r="74" spans="1:20" s="81" customFormat="1" outlineLevel="1" x14ac:dyDescent="0.3">
      <c r="A74" s="263">
        <f t="shared" si="13"/>
        <v>7</v>
      </c>
      <c r="B74" s="98" t="s">
        <v>762</v>
      </c>
      <c r="C74" s="98" t="s">
        <v>763</v>
      </c>
      <c r="D74" s="98" t="s">
        <v>764</v>
      </c>
      <c r="E74" s="124">
        <v>800</v>
      </c>
      <c r="F74" s="125">
        <v>2000</v>
      </c>
      <c r="G74" s="125">
        <v>1100</v>
      </c>
      <c r="H74" s="125">
        <v>400</v>
      </c>
      <c r="I74" s="267">
        <f t="shared" si="10"/>
        <v>4300</v>
      </c>
      <c r="L74" s="263">
        <f t="shared" si="11"/>
        <v>7</v>
      </c>
      <c r="M74" s="98" t="s">
        <v>762</v>
      </c>
      <c r="N74" s="98" t="s">
        <v>763</v>
      </c>
      <c r="O74" s="98" t="s">
        <v>764</v>
      </c>
      <c r="P74" s="124">
        <v>800</v>
      </c>
      <c r="Q74" s="125">
        <v>2000</v>
      </c>
      <c r="R74" s="125">
        <v>1100</v>
      </c>
      <c r="S74" s="125">
        <v>200</v>
      </c>
      <c r="T74" s="267">
        <f t="shared" si="12"/>
        <v>4100</v>
      </c>
    </row>
    <row r="75" spans="1:20" s="81" customFormat="1" ht="27.6" outlineLevel="1" x14ac:dyDescent="0.3">
      <c r="A75" s="263">
        <f t="shared" si="13"/>
        <v>8</v>
      </c>
      <c r="B75" s="260" t="s">
        <v>1227</v>
      </c>
      <c r="C75" s="263"/>
      <c r="D75" s="263"/>
      <c r="E75" s="261"/>
      <c r="F75" s="262">
        <v>800</v>
      </c>
      <c r="G75" s="262">
        <v>200</v>
      </c>
      <c r="H75" s="262"/>
      <c r="I75" s="267">
        <f t="shared" si="10"/>
        <v>1000</v>
      </c>
      <c r="L75" s="263">
        <f t="shared" si="11"/>
        <v>8</v>
      </c>
      <c r="M75" s="260" t="s">
        <v>1227</v>
      </c>
      <c r="N75" s="263"/>
      <c r="O75" s="263"/>
      <c r="P75" s="261"/>
      <c r="Q75" s="262">
        <v>800</v>
      </c>
      <c r="R75" s="262">
        <v>200</v>
      </c>
      <c r="S75" s="262"/>
      <c r="T75" s="267">
        <f t="shared" si="12"/>
        <v>1000</v>
      </c>
    </row>
    <row r="76" spans="1:20" s="81" customFormat="1" outlineLevel="1" x14ac:dyDescent="0.3">
      <c r="A76" s="263">
        <f t="shared" si="13"/>
        <v>9</v>
      </c>
      <c r="B76" s="260"/>
      <c r="C76" s="263"/>
      <c r="D76" s="263"/>
      <c r="E76" s="261"/>
      <c r="F76" s="262"/>
      <c r="G76" s="262"/>
      <c r="H76" s="262"/>
      <c r="I76" s="267"/>
      <c r="L76" s="263">
        <f t="shared" si="11"/>
        <v>9</v>
      </c>
      <c r="M76" s="260"/>
      <c r="N76" s="263"/>
      <c r="O76" s="263"/>
      <c r="P76" s="261"/>
      <c r="Q76" s="262"/>
      <c r="R76" s="262"/>
      <c r="S76" s="262"/>
      <c r="T76" s="267"/>
    </row>
    <row r="77" spans="1:20" s="81" customFormat="1" outlineLevel="1" x14ac:dyDescent="0.3">
      <c r="A77" s="263">
        <f t="shared" si="13"/>
        <v>10</v>
      </c>
      <c r="B77" s="260"/>
      <c r="C77" s="263"/>
      <c r="D77" s="263"/>
      <c r="E77" s="261"/>
      <c r="F77" s="262"/>
      <c r="G77" s="262"/>
      <c r="H77" s="262"/>
      <c r="I77" s="267"/>
      <c r="L77" s="263">
        <f t="shared" si="11"/>
        <v>10</v>
      </c>
      <c r="M77" s="260"/>
      <c r="N77" s="263"/>
      <c r="O77" s="263"/>
      <c r="P77" s="261"/>
      <c r="Q77" s="262"/>
      <c r="R77" s="262"/>
      <c r="S77" s="262"/>
      <c r="T77" s="267"/>
    </row>
    <row r="78" spans="1:20" s="81" customFormat="1" outlineLevel="1" x14ac:dyDescent="0.3">
      <c r="A78" s="263">
        <f t="shared" si="13"/>
        <v>11</v>
      </c>
      <c r="B78" s="260"/>
      <c r="C78" s="263"/>
      <c r="D78" s="263"/>
      <c r="E78" s="261"/>
      <c r="F78" s="262"/>
      <c r="G78" s="262"/>
      <c r="H78" s="262"/>
      <c r="I78" s="267">
        <f>SUM(E78:H78)</f>
        <v>0</v>
      </c>
      <c r="L78" s="263">
        <f t="shared" si="11"/>
        <v>11</v>
      </c>
      <c r="M78" s="260"/>
      <c r="N78" s="263"/>
      <c r="O78" s="263"/>
      <c r="P78" s="261"/>
      <c r="Q78" s="262"/>
      <c r="R78" s="262"/>
      <c r="S78" s="262"/>
      <c r="T78" s="267">
        <f>SUM(P78:S78)</f>
        <v>0</v>
      </c>
    </row>
    <row r="79" spans="1:20" s="81" customFormat="1" outlineLevel="1" x14ac:dyDescent="0.3">
      <c r="A79" s="263">
        <f t="shared" si="13"/>
        <v>12</v>
      </c>
      <c r="B79" s="260"/>
      <c r="C79" s="263"/>
      <c r="D79" s="263"/>
      <c r="E79" s="261"/>
      <c r="F79" s="262"/>
      <c r="G79" s="262"/>
      <c r="H79" s="262"/>
      <c r="I79" s="267">
        <f>SUM(E79:H79)</f>
        <v>0</v>
      </c>
      <c r="L79" s="263">
        <f t="shared" si="11"/>
        <v>12</v>
      </c>
      <c r="M79" s="260"/>
      <c r="N79" s="263"/>
      <c r="O79" s="263"/>
      <c r="P79" s="261"/>
      <c r="Q79" s="262"/>
      <c r="R79" s="262"/>
      <c r="S79" s="262"/>
      <c r="T79" s="267">
        <f>SUM(P79:S79)</f>
        <v>0</v>
      </c>
    </row>
    <row r="80" spans="1:20" s="81" customFormat="1" outlineLevel="1" x14ac:dyDescent="0.3">
      <c r="A80" s="263">
        <f t="shared" si="13"/>
        <v>13</v>
      </c>
      <c r="B80" s="260"/>
      <c r="C80" s="263"/>
      <c r="D80" s="263"/>
      <c r="E80" s="261"/>
      <c r="F80" s="262"/>
      <c r="G80" s="262"/>
      <c r="H80" s="262"/>
      <c r="I80" s="267">
        <f>SUM(E80:H80)</f>
        <v>0</v>
      </c>
      <c r="L80" s="263">
        <f t="shared" si="11"/>
        <v>13</v>
      </c>
      <c r="M80" s="260"/>
      <c r="N80" s="263"/>
      <c r="O80" s="263"/>
      <c r="P80" s="261"/>
      <c r="Q80" s="262"/>
      <c r="R80" s="262"/>
      <c r="S80" s="262"/>
      <c r="T80" s="267">
        <f>SUM(P80:S80)</f>
        <v>0</v>
      </c>
    </row>
    <row r="81" spans="1:20" s="81" customFormat="1" outlineLevel="1" x14ac:dyDescent="0.3">
      <c r="A81" s="263">
        <f t="shared" si="13"/>
        <v>14</v>
      </c>
      <c r="B81" s="260"/>
      <c r="C81" s="263"/>
      <c r="D81" s="263"/>
      <c r="E81" s="261"/>
      <c r="F81" s="262"/>
      <c r="G81" s="262"/>
      <c r="H81" s="262"/>
      <c r="I81" s="267"/>
      <c r="L81" s="263">
        <f t="shared" si="11"/>
        <v>14</v>
      </c>
      <c r="M81" s="260"/>
      <c r="N81" s="263"/>
      <c r="O81" s="263"/>
      <c r="P81" s="261"/>
      <c r="Q81" s="262"/>
      <c r="R81" s="262"/>
      <c r="S81" s="262"/>
      <c r="T81" s="267"/>
    </row>
    <row r="82" spans="1:20" s="81" customFormat="1" outlineLevel="1" x14ac:dyDescent="0.3">
      <c r="A82" s="263">
        <f t="shared" si="13"/>
        <v>15</v>
      </c>
      <c r="B82" s="263"/>
      <c r="C82" s="263"/>
      <c r="D82" s="263"/>
      <c r="E82" s="261"/>
      <c r="F82" s="262"/>
      <c r="G82" s="262"/>
      <c r="H82" s="262"/>
      <c r="I82" s="267">
        <f>SUM(E82:H82)</f>
        <v>0</v>
      </c>
      <c r="L82" s="263">
        <f t="shared" si="11"/>
        <v>15</v>
      </c>
      <c r="M82" s="263"/>
      <c r="N82" s="263"/>
      <c r="O82" s="263"/>
      <c r="P82" s="261"/>
      <c r="Q82" s="262"/>
      <c r="R82" s="262"/>
      <c r="S82" s="262"/>
      <c r="T82" s="267">
        <f>SUM(P82:S82)</f>
        <v>0</v>
      </c>
    </row>
    <row r="83" spans="1:20" outlineLevel="1" x14ac:dyDescent="0.3">
      <c r="A83" s="263">
        <f t="shared" si="13"/>
        <v>16</v>
      </c>
      <c r="B83" s="113" t="s">
        <v>765</v>
      </c>
      <c r="C83" s="113"/>
      <c r="D83" s="113"/>
      <c r="E83" s="128">
        <f>Tabelle5[[#Totals],[Aufwandsentschädigungen]]</f>
        <v>2540</v>
      </c>
      <c r="F83" s="129">
        <f>Tabelle5[[#Totals],[Interne Reisekosten]]</f>
        <v>4900</v>
      </c>
      <c r="G83" s="129">
        <f>Tabelle5[[#Totals],[Raum + Unterkunft intern]]</f>
        <v>1500</v>
      </c>
      <c r="H83" s="129">
        <f>Tabelle5[[#Totals],[Repräsentation/Bewirtung intern]]</f>
        <v>300</v>
      </c>
      <c r="I83" s="268">
        <f>SUM(E83:H83)</f>
        <v>9240</v>
      </c>
      <c r="L83" s="98">
        <f t="shared" si="11"/>
        <v>16</v>
      </c>
      <c r="M83" s="113" t="s">
        <v>765</v>
      </c>
      <c r="N83" s="113"/>
      <c r="O83" s="113"/>
      <c r="P83" s="128">
        <f>Tabelle5[[#Totals],[Aufwandsentschädigungen]]</f>
        <v>2540</v>
      </c>
      <c r="Q83" s="129">
        <f>Tabelle5[[#Totals],[Interne Reisekosten]]</f>
        <v>4900</v>
      </c>
      <c r="R83" s="129">
        <f>Tabelle5[[#Totals],[Raum + Unterkunft intern]]</f>
        <v>1500</v>
      </c>
      <c r="S83" s="129">
        <f>Tabelle5[[#Totals],[Repräsentation/Bewirtung intern]]</f>
        <v>300</v>
      </c>
      <c r="T83" s="268">
        <f>SUM(P83:S83)</f>
        <v>9240</v>
      </c>
    </row>
    <row r="84" spans="1:20" s="81" customFormat="1" ht="15.75" customHeight="1" outlineLevel="1" thickBot="1" x14ac:dyDescent="0.35">
      <c r="A84" s="263">
        <f t="shared" si="13"/>
        <v>17</v>
      </c>
      <c r="B84" s="264" t="s">
        <v>606</v>
      </c>
      <c r="C84" s="264"/>
      <c r="D84" s="264" t="s">
        <v>766</v>
      </c>
      <c r="E84" s="265">
        <v>660</v>
      </c>
      <c r="F84" s="266">
        <v>1800</v>
      </c>
      <c r="G84" s="266">
        <v>0</v>
      </c>
      <c r="H84" s="266">
        <v>500</v>
      </c>
      <c r="I84" s="269">
        <f>SUM(E84:H84)</f>
        <v>2960</v>
      </c>
      <c r="L84" s="263">
        <f t="shared" si="11"/>
        <v>17</v>
      </c>
      <c r="M84" s="264" t="s">
        <v>606</v>
      </c>
      <c r="N84" s="264"/>
      <c r="O84" s="264" t="s">
        <v>766</v>
      </c>
      <c r="P84" s="265">
        <v>660</v>
      </c>
      <c r="Q84" s="266">
        <v>1600</v>
      </c>
      <c r="R84" s="266">
        <v>0</v>
      </c>
      <c r="S84" s="266">
        <v>20</v>
      </c>
      <c r="T84" s="269">
        <f>SUM(P84:S84)</f>
        <v>2280</v>
      </c>
    </row>
    <row r="85" spans="1:20" ht="23.25" customHeight="1" thickBot="1" x14ac:dyDescent="0.35">
      <c r="A85" s="98"/>
      <c r="B85" s="98"/>
      <c r="C85" s="98"/>
      <c r="D85" s="107" t="s">
        <v>697</v>
      </c>
      <c r="E85" s="286">
        <f>SUBTOTAL(9,Tabelle647[Aufwandsentschädigungen])</f>
        <v>8600</v>
      </c>
      <c r="F85" s="380">
        <f>SUBTOTAL(9,Tabelle647[Interne Reisekosten])</f>
        <v>15000</v>
      </c>
      <c r="G85" s="380">
        <f>SUBTOTAL(9,Tabelle647[Raum + Unterkunft intern])</f>
        <v>4452</v>
      </c>
      <c r="H85" s="380">
        <f>SUBTOTAL(9,Tabelle647[Repräsentation/Bewirtung intern])</f>
        <v>2000</v>
      </c>
      <c r="I85" s="674">
        <f>SUBTOTAL(9,Tabelle647[Gesamt])</f>
        <v>30052</v>
      </c>
      <c r="L85" s="98"/>
      <c r="M85" s="98"/>
      <c r="N85" s="98"/>
      <c r="O85" s="107" t="s">
        <v>697</v>
      </c>
      <c r="P85" s="286">
        <f>SUBTOTAL(9,Tabelle6[Aufwandsentschädigungen])</f>
        <v>8600</v>
      </c>
      <c r="Q85" s="380">
        <f>SUBTOTAL(9,Tabelle6[Interne Reisekosten])</f>
        <v>14800</v>
      </c>
      <c r="R85" s="380">
        <f>SUBTOTAL(9,Tabelle6[Raum + Unterkunft intern])</f>
        <v>4452</v>
      </c>
      <c r="S85" s="380">
        <f>SUBTOTAL(9,Tabelle6[Repräsentation/Bewirtung intern])</f>
        <v>920</v>
      </c>
      <c r="T85" s="674">
        <f>SUBTOTAL(9,Tabelle6[Gesamt])</f>
        <v>28772</v>
      </c>
    </row>
  </sheetData>
  <sheetProtection selectLockedCells="1"/>
  <phoneticPr fontId="79" type="noConversion"/>
  <hyperlinks>
    <hyperlink ref="Q45" location="WiWi!F5" display="WiWi!F5" xr:uid="{00000000-0004-0000-1000-000000000000}"/>
    <hyperlink ref="R45" location="WiWi!F6" display="WiWi!F6" xr:uid="{00000000-0004-0000-1000-000001000000}"/>
    <hyperlink ref="S45" location="WiWi!F7" display="WiWi!F7" xr:uid="{00000000-0004-0000-1000-000002000000}"/>
    <hyperlink ref="T62" location="WiWi!F6" display="WiWi!F6" xr:uid="{00000000-0004-0000-1000-000003000000}"/>
    <hyperlink ref="U62" location="WiWi!F7" display="WiWi!F7" xr:uid="{00000000-0004-0000-1000-000004000000}"/>
    <hyperlink ref="V62" location="WiWi!F11" display="WiWi!F11" xr:uid="{00000000-0004-0000-1000-000005000000}"/>
    <hyperlink ref="P85" location="WiWi!F11" display="WiWi!F11" xr:uid="{00000000-0004-0000-1000-000006000000}"/>
    <hyperlink ref="W62" location="WiWi!F12" display="WiWi!F12" xr:uid="{00000000-0004-0000-1000-000007000000}"/>
    <hyperlink ref="Q85" location="WiWi!F12" display="WiWi!F12" xr:uid="{00000000-0004-0000-1000-000008000000}"/>
    <hyperlink ref="X62" location="WiWi!F13" display="WiWi!F13" xr:uid="{00000000-0004-0000-1000-000009000000}"/>
    <hyperlink ref="R85" location="WiWi!F13" display="WiWi!F13" xr:uid="{00000000-0004-0000-1000-00000A000000}"/>
    <hyperlink ref="Y62" location="WiWi!F14" display="WiWi!F14" xr:uid="{00000000-0004-0000-1000-00000B000000}"/>
    <hyperlink ref="S85" location="WiWi!F14" display="WiWi!F14" xr:uid="{00000000-0004-0000-1000-00000C000000}"/>
    <hyperlink ref="T45" location="WiWi!F15" display="WiWi!F15" xr:uid="{00000000-0004-0000-1000-00000D000000}"/>
    <hyperlink ref="U45" location="WiWi!F16" display="WiWi!F16" xr:uid="{00000000-0004-0000-1000-00000E000000}"/>
    <hyperlink ref="Z62" location="WiWi!F18" display="WiWi!F18" xr:uid="{00000000-0004-0000-1000-00000F000000}"/>
    <hyperlink ref="AA62" location="WiWi!F19" display="WiWi!F19" xr:uid="{00000000-0004-0000-1000-000010000000}"/>
    <hyperlink ref="AB62" location="WiWi!F20" display="WiWi!F20" xr:uid="{00000000-0004-0000-1000-000011000000}"/>
    <hyperlink ref="V45" location="WiWi!F17" display="WiWi!F17" xr:uid="{00000000-0004-0000-1000-000012000000}"/>
    <hyperlink ref="W45" location="WiWi!F18" display="WiWi!F18" xr:uid="{00000000-0004-0000-1000-000013000000}"/>
    <hyperlink ref="X45" location="WiWi!F19" display="WiWi!F19" xr:uid="{00000000-0004-0000-1000-000014000000}"/>
    <hyperlink ref="Y45" location="WiWi!F20" display="WiWi!F20" xr:uid="{00000000-0004-0000-1000-000015000000}"/>
    <hyperlink ref="AC62" location="WiWi!F21" display="WiWi!F21" xr:uid="{00000000-0004-0000-1000-000016000000}"/>
    <hyperlink ref="AD62" location="WiWi!F22" display="WiWi!F22" xr:uid="{00000000-0004-0000-1000-000017000000}"/>
    <hyperlink ref="B11" location="Wiwi_AE_var" display="AE variabel" xr:uid="{00000000-0004-0000-1000-000018000000}"/>
    <hyperlink ref="B12" location="Wiwi_RK_Int." display="Fahrtkosten und Verpflegungspauschalen" xr:uid="{00000000-0004-0000-1000-000019000000}"/>
    <hyperlink ref="B13" location="Wiwi_R_U_Int." display="Raum- und Unterkunftskosten" xr:uid="{00000000-0004-0000-1000-00001A000000}"/>
    <hyperlink ref="B14" location="Wiwi_Bew.Int." display="Bewirtung und Repräsentation intern" xr:uid="{00000000-0004-0000-1000-00001B000000}"/>
    <hyperlink ref="B15" location="Wiwi_Hon_I" display="Honorare Fachseminare" xr:uid="{00000000-0004-0000-1000-00001C000000}"/>
    <hyperlink ref="B16" location="Wiwi_Hon_II" display="Andere Honorare" xr:uid="{00000000-0004-0000-1000-00001D000000}"/>
    <hyperlink ref="B17" location="Wiwi_R_U_Ext." display="Ext. Reisekosten" xr:uid="{00000000-0004-0000-1000-00001E000000}"/>
    <hyperlink ref="B18" location="Wiwi_Bew.Ext." display="Bewirtung und Repräsentation extern" xr:uid="{00000000-0004-0000-1000-00001F000000}"/>
    <hyperlink ref="B19" location="Wiwi_R_U_Ext." display="Raum- und Unterkunftskosten Seminare und Veranst." xr:uid="{00000000-0004-0000-1000-000020000000}"/>
    <hyperlink ref="B20" location="Wiwi_Druck" display="Druckkosten" xr:uid="{00000000-0004-0000-1000-000021000000}"/>
    <hyperlink ref="B21" location="Wiwi_Sonst." display="Sonstige Kosten (Lizenzen, Allg. Geschäftsbetrieb)" xr:uid="{00000000-0004-0000-1000-000022000000}"/>
    <hyperlink ref="B22" location="Rechtsk.FSen" display="Rechtsangelegenheiten" xr:uid="{00000000-0004-0000-1000-000023000000}"/>
    <hyperlink ref="B7" location="Wiwi_Sonst_Einnahmen" display="Sonstige Einnahmen (Vorauszahlungen Bewirtung, Werbung, …)" xr:uid="{00000000-0004-0000-1000-000024000000}"/>
    <hyperlink ref="B6" location="Wiwi_TN_Beiträge_II" display="Teilnahmebeiträge Veranstaltungen" xr:uid="{00000000-0004-0000-1000-000025000000}"/>
    <hyperlink ref="B5" location="Wiwi_TN_Beiträge_I" display="Teilnahmebeiträge Seminare" xr:uid="{00000000-0004-0000-1000-000026000000}"/>
    <hyperlink ref="J11" location="AEFKWiwi_413.21" display="AEFKWiwi_413.21" xr:uid="{00000000-0004-0000-1000-000027000000}"/>
    <hyperlink ref="J12" location="AEFKWiwi_527.40" display="AEFKWiwi_527.40" xr:uid="{00000000-0004-0000-1000-000028000000}"/>
    <hyperlink ref="J13" location="AEFKWiwi_529.40" display="AEFKWiwi_529.40" xr:uid="{00000000-0004-0000-1000-000029000000}"/>
    <hyperlink ref="J14" location="AEFKWiwi_531.40" display="AEFKWiwi_531.40" xr:uid="{00000000-0004-0000-1000-00002A000000}"/>
    <hyperlink ref="J15" location="SemWiwi_551.10" display="SemWiwi_551.10" xr:uid="{00000000-0004-0000-1000-00002B000000}"/>
    <hyperlink ref="J17" location="SemWiwi_551.30" display="SemWiwi_551.30" xr:uid="{00000000-0004-0000-1000-00002C000000}"/>
    <hyperlink ref="J18" location="SemWiwi_551.40" display="SemWiwi_551.40" xr:uid="{00000000-0004-0000-1000-00002D000000}"/>
    <hyperlink ref="J19" location="SemWiwi_551.50" display="SemWiwi_551.50" xr:uid="{00000000-0004-0000-1000-00002E000000}"/>
    <hyperlink ref="J20" location="MaßnWiwi_551.60" display="MaßnWiwi_551.60" xr:uid="{00000000-0004-0000-1000-00002F000000}"/>
    <hyperlink ref="J21" location="MaßnWiwi_551.70" display="MaßnWiwi_551.70" xr:uid="{00000000-0004-0000-1000-000030000000}"/>
    <hyperlink ref="J22" location="MaßnWiwi_560.70" display="MaßnWiwi_560.70" xr:uid="{00000000-0004-0000-1000-000031000000}"/>
    <hyperlink ref="J5" location="SemWiwi_210.10" display="SemWiwi_210.10" xr:uid="{00000000-0004-0000-1000-000032000000}"/>
    <hyperlink ref="J6" location="MaßnWiwi_220.10" display="MaßnWiwi_220.10" xr:uid="{00000000-0004-0000-1000-000033000000}"/>
    <hyperlink ref="J7" location="MaßnWiwi_230.10" display="MaßnWiwi_230.10" xr:uid="{00000000-0004-0000-1000-000034000000}"/>
    <hyperlink ref="J16" location="WiWi!AE62" display="WiWi!AE62" xr:uid="{00000000-0004-0000-1000-000035000000}"/>
    <hyperlink ref="C45" location="WiWi!F5" display="WiWi!F5" xr:uid="{00000000-0004-0000-1000-000036000000}"/>
    <hyperlink ref="D45" location="WiWi!F6" display="WiWi!F6" xr:uid="{00000000-0004-0000-1000-000037000000}"/>
    <hyperlink ref="E45" location="WiWi!F7" display="WiWi!F7" xr:uid="{00000000-0004-0000-1000-000038000000}"/>
    <hyperlink ref="F45" location="WiWi!F15" display="WiWi!F15" xr:uid="{00000000-0004-0000-1000-000039000000}"/>
    <hyperlink ref="G45" location="WiWi!F16" display="WiWi!F16" xr:uid="{00000000-0004-0000-1000-00003A000000}"/>
    <hyperlink ref="H45" location="WiWi!F17" display="WiWi!F17" xr:uid="{00000000-0004-0000-1000-00003B000000}"/>
    <hyperlink ref="I45" location="WiWi!F18" display="WiWi!F18" xr:uid="{00000000-0004-0000-1000-00003C000000}"/>
    <hyperlink ref="J45" location="WiWi!F19" display="WiWi!F19" xr:uid="{00000000-0004-0000-1000-00003D000000}"/>
    <hyperlink ref="K45" location="WiWi!F20" display="WiWi!F20" xr:uid="{00000000-0004-0000-1000-00003E000000}"/>
    <hyperlink ref="C62" location="WiWi!F6" display="WiWi!F6" xr:uid="{00000000-0004-0000-1000-00003F000000}"/>
    <hyperlink ref="D62" location="WiWi!F7" display="WiWi!F7" xr:uid="{00000000-0004-0000-1000-000040000000}"/>
    <hyperlink ref="E62" location="WiWi!F11" display="WiWi!F11" xr:uid="{00000000-0004-0000-1000-000041000000}"/>
    <hyperlink ref="F62" location="WiWi!F12" display="WiWi!F12" xr:uid="{00000000-0004-0000-1000-000042000000}"/>
    <hyperlink ref="G62" location="WiWi!F13" display="WiWi!F13" xr:uid="{00000000-0004-0000-1000-000043000000}"/>
    <hyperlink ref="H62" location="WiWi!F14" display="WiWi!F14" xr:uid="{00000000-0004-0000-1000-000044000000}"/>
    <hyperlink ref="I62" location="WiWi!F18" display="WiWi!F18" xr:uid="{00000000-0004-0000-1000-000045000000}"/>
    <hyperlink ref="J62" location="WiWi!F19" display="WiWi!F19" xr:uid="{00000000-0004-0000-1000-000046000000}"/>
    <hyperlink ref="K62" location="WiWi!F20" display="WiWi!F20" xr:uid="{00000000-0004-0000-1000-000047000000}"/>
    <hyperlink ref="L62" location="WiWi!F21" display="WiWi!F21" xr:uid="{00000000-0004-0000-1000-000048000000}"/>
    <hyperlink ref="M62" location="WiWi!F22" display="WiWi!F22" xr:uid="{00000000-0004-0000-1000-000049000000}"/>
    <hyperlink ref="E85" location="WiWi!F11" display="WiWi!F11" xr:uid="{00000000-0004-0000-1000-00004A000000}"/>
    <hyperlink ref="F85" location="WiWi!F12" display="WiWi!F12" xr:uid="{00000000-0004-0000-1000-00004B000000}"/>
    <hyperlink ref="G85" location="WiWi!F13" display="WiWi!F13" xr:uid="{00000000-0004-0000-1000-00004C000000}"/>
    <hyperlink ref="H85" location="WiWi!F14" display="WiWi!F14" xr:uid="{00000000-0004-0000-1000-00004D000000}"/>
  </hyperlinks>
  <pageMargins left="0.7" right="0.7" top="0.78740157499999996" bottom="0.78740157499999996" header="0.3" footer="0.3"/>
  <pageSetup paperSize="9" orientation="landscape" r:id="rId1"/>
  <legacyDrawing r:id="rId2"/>
  <tableParts count="7">
    <tablePart r:id="rId3"/>
    <tablePart r:id="rId4"/>
    <tablePart r:id="rId5"/>
    <tablePart r:id="rId6"/>
    <tablePart r:id="rId7"/>
    <tablePart r:id="rId8"/>
    <tablePart r:id="rId9"/>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3"/>
  <dimension ref="A1:AF93"/>
  <sheetViews>
    <sheetView showGridLines="0" zoomScaleNormal="100" workbookViewId="0">
      <selection activeCell="F17" sqref="F17"/>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77734375" customWidth="1"/>
    <col min="5" max="5" width="16" customWidth="1"/>
    <col min="6" max="6" width="14" customWidth="1"/>
    <col min="7" max="7" width="12.77734375" customWidth="1"/>
    <col min="8" max="8" width="13.33203125" customWidth="1"/>
    <col min="9" max="9" width="12.109375" customWidth="1"/>
    <col min="10" max="10" width="13.44140625" customWidth="1"/>
    <col min="11" max="11" width="12" customWidth="1"/>
  </cols>
  <sheetData>
    <row r="1" spans="1:12" ht="18" x14ac:dyDescent="0.35">
      <c r="A1" s="11"/>
      <c r="B1" s="7" t="s">
        <v>767</v>
      </c>
    </row>
    <row r="2" spans="1:12" ht="19.5" customHeight="1" thickBot="1" x14ac:dyDescent="0.35"/>
    <row r="3" spans="1:12" s="235" customFormat="1" ht="34.5" customHeight="1" thickBot="1" x14ac:dyDescent="0.35">
      <c r="A3" s="236" t="s">
        <v>1</v>
      </c>
      <c r="B3" s="385" t="s">
        <v>4</v>
      </c>
      <c r="C3" s="364" t="s">
        <v>717</v>
      </c>
      <c r="D3" s="365" t="s">
        <v>718</v>
      </c>
      <c r="E3" s="1026" t="s">
        <v>1368</v>
      </c>
      <c r="F3" s="1008" t="s">
        <v>1370</v>
      </c>
      <c r="G3" s="1038" t="s">
        <v>768</v>
      </c>
      <c r="H3" s="1038" t="s">
        <v>720</v>
      </c>
      <c r="I3" s="231" t="s">
        <v>721</v>
      </c>
      <c r="J3" s="233" t="s">
        <v>7</v>
      </c>
      <c r="K3" s="234" t="s">
        <v>722</v>
      </c>
      <c r="L3" s="366" t="s">
        <v>723</v>
      </c>
    </row>
    <row r="4" spans="1:12" ht="18.75" customHeight="1" x14ac:dyDescent="0.3">
      <c r="A4" s="172" t="s">
        <v>724</v>
      </c>
      <c r="B4" s="173"/>
      <c r="C4" s="173"/>
      <c r="D4" s="173"/>
      <c r="E4" s="1043"/>
      <c r="F4" s="1044"/>
      <c r="G4" s="1010"/>
      <c r="H4" s="1010"/>
      <c r="I4" s="1037"/>
      <c r="J4" s="174"/>
      <c r="K4" s="50"/>
      <c r="L4" s="80"/>
    </row>
    <row r="5" spans="1:12" x14ac:dyDescent="0.3">
      <c r="A5" s="175" t="s">
        <v>71</v>
      </c>
      <c r="B5" s="210" t="s">
        <v>650</v>
      </c>
      <c r="C5" s="146"/>
      <c r="D5" s="146"/>
      <c r="E5" s="170">
        <v>8510</v>
      </c>
      <c r="F5" s="1027"/>
      <c r="G5" s="1022">
        <v>10576</v>
      </c>
      <c r="H5" s="1012">
        <f>Tabelle410[[#Totals],[Teilnahmebeiträge Fachseminare]]</f>
        <v>10576</v>
      </c>
      <c r="I5" s="1002">
        <v>1500</v>
      </c>
      <c r="J5" s="743">
        <v>318</v>
      </c>
      <c r="K5" s="176"/>
      <c r="L5" s="146"/>
    </row>
    <row r="6" spans="1:12" x14ac:dyDescent="0.3">
      <c r="A6" s="175" t="s">
        <v>84</v>
      </c>
      <c r="B6" s="210" t="s">
        <v>651</v>
      </c>
      <c r="C6" s="146"/>
      <c r="D6" s="146"/>
      <c r="E6" s="170">
        <v>500</v>
      </c>
      <c r="F6" s="1027"/>
      <c r="G6" s="1022">
        <v>1200</v>
      </c>
      <c r="H6" s="1012">
        <f>Tabelle410[[#Totals],[Teilnahmebeiträge Veranstaltungen]]+Tabelle513[[#Totals],[Teilnahmebeiträge Veranstaltungen]]</f>
        <v>1500</v>
      </c>
      <c r="I6" s="1002">
        <v>0</v>
      </c>
      <c r="J6" s="743">
        <v>0</v>
      </c>
      <c r="K6" s="176"/>
      <c r="L6" s="146"/>
    </row>
    <row r="7" spans="1:12" ht="15" thickBot="1" x14ac:dyDescent="0.35">
      <c r="A7" s="175" t="s">
        <v>91</v>
      </c>
      <c r="B7" s="210" t="s">
        <v>725</v>
      </c>
      <c r="C7" s="146"/>
      <c r="D7" s="146"/>
      <c r="E7" s="170"/>
      <c r="F7" s="1027"/>
      <c r="G7" s="1022">
        <v>0</v>
      </c>
      <c r="H7" s="1012">
        <f>Tabelle410[[#Totals],[Sonstige Einnahmen]]+Tabelle513[[#Totals],[Sonstige Einnahmen]]</f>
        <v>0</v>
      </c>
      <c r="I7" s="1002">
        <v>0</v>
      </c>
      <c r="J7" s="743">
        <v>0</v>
      </c>
      <c r="K7" s="176"/>
      <c r="L7" s="146"/>
    </row>
    <row r="8" spans="1:12" ht="15" thickBot="1" x14ac:dyDescent="0.35">
      <c r="A8" s="177"/>
      <c r="B8" s="178"/>
      <c r="C8" s="178"/>
      <c r="D8" s="178" t="s">
        <v>556</v>
      </c>
      <c r="E8" s="1045">
        <f t="shared" ref="E8:J8" si="0">SUBTOTAL(9,E5:E7)</f>
        <v>9010</v>
      </c>
      <c r="F8" s="168">
        <f t="shared" si="0"/>
        <v>0</v>
      </c>
      <c r="G8" s="1042">
        <f t="shared" si="0"/>
        <v>11776</v>
      </c>
      <c r="H8" s="1013">
        <f t="shared" si="0"/>
        <v>12076</v>
      </c>
      <c r="I8" s="1003">
        <f t="shared" si="0"/>
        <v>1500</v>
      </c>
      <c r="J8" s="167">
        <f t="shared" si="0"/>
        <v>318</v>
      </c>
      <c r="K8" s="179"/>
      <c r="L8" s="367"/>
    </row>
    <row r="9" spans="1:12" ht="18.75" customHeight="1" x14ac:dyDescent="0.3">
      <c r="A9" s="180" t="s">
        <v>119</v>
      </c>
      <c r="B9" s="181"/>
      <c r="C9" s="181"/>
      <c r="D9" s="181"/>
      <c r="E9" s="169"/>
      <c r="F9" s="1029"/>
      <c r="G9" s="1004"/>
      <c r="H9" s="1014"/>
      <c r="I9" s="1004"/>
      <c r="J9" s="746"/>
      <c r="K9" s="182"/>
      <c r="L9" s="146"/>
    </row>
    <row r="10" spans="1:12" x14ac:dyDescent="0.3">
      <c r="A10" s="183" t="s">
        <v>134</v>
      </c>
      <c r="B10" s="146" t="s">
        <v>726</v>
      </c>
      <c r="C10" s="146"/>
      <c r="D10" s="146"/>
      <c r="E10" s="170">
        <v>9600</v>
      </c>
      <c r="F10" s="1027"/>
      <c r="G10" s="1023">
        <v>9600</v>
      </c>
      <c r="H10" s="1015">
        <f>800*12</f>
        <v>9600</v>
      </c>
      <c r="I10" s="1005">
        <f>800*12</f>
        <v>9600</v>
      </c>
      <c r="J10" s="743">
        <v>6120</v>
      </c>
      <c r="K10" s="176"/>
      <c r="L10" s="146"/>
    </row>
    <row r="11" spans="1:12" x14ac:dyDescent="0.3">
      <c r="A11" s="183" t="s">
        <v>138</v>
      </c>
      <c r="B11" s="210" t="s">
        <v>727</v>
      </c>
      <c r="C11" s="146"/>
      <c r="D11" s="146"/>
      <c r="E11" s="170">
        <v>5270</v>
      </c>
      <c r="F11" s="1027"/>
      <c r="G11" s="1022">
        <v>5270</v>
      </c>
      <c r="H11" s="1012">
        <f>Tabelle615[[#Totals],[Aufwandsentschädigungen]]</f>
        <v>5270</v>
      </c>
      <c r="I11" s="1002">
        <v>1400</v>
      </c>
      <c r="J11" s="743">
        <v>1160</v>
      </c>
      <c r="K11" s="176"/>
      <c r="L11" s="146"/>
    </row>
    <row r="12" spans="1:12" x14ac:dyDescent="0.3">
      <c r="A12" s="183" t="s">
        <v>1203</v>
      </c>
      <c r="B12" s="210" t="s">
        <v>729</v>
      </c>
      <c r="C12" s="146"/>
      <c r="D12" s="146"/>
      <c r="E12" s="170">
        <v>6000</v>
      </c>
      <c r="F12" s="1027"/>
      <c r="G12" s="1022">
        <v>3570</v>
      </c>
      <c r="H12" s="1012">
        <f>Tabelle615[[#Totals],[Interne Reisekosten]]</f>
        <v>3570</v>
      </c>
      <c r="I12" s="1002">
        <v>1000</v>
      </c>
      <c r="J12" s="743">
        <v>501.44</v>
      </c>
      <c r="K12" s="176"/>
      <c r="L12" s="146"/>
    </row>
    <row r="13" spans="1:12" ht="15" customHeight="1" x14ac:dyDescent="0.3">
      <c r="A13" s="183" t="s">
        <v>269</v>
      </c>
      <c r="B13" s="210" t="s">
        <v>730</v>
      </c>
      <c r="C13" s="184"/>
      <c r="D13" s="184"/>
      <c r="E13" s="1046">
        <v>2670</v>
      </c>
      <c r="F13" s="1030"/>
      <c r="G13" s="1022">
        <v>2670</v>
      </c>
      <c r="H13" s="1039">
        <f>Tabelle615[[#Totals],[Raum + Unterkunft intern]]</f>
        <v>2670</v>
      </c>
      <c r="I13" s="1002">
        <v>500</v>
      </c>
      <c r="J13" s="744">
        <v>302.39999999999998</v>
      </c>
      <c r="K13" s="185"/>
      <c r="L13" s="146"/>
    </row>
    <row r="14" spans="1:12" x14ac:dyDescent="0.3">
      <c r="A14" s="183" t="s">
        <v>294</v>
      </c>
      <c r="B14" s="212" t="s">
        <v>731</v>
      </c>
      <c r="C14" s="80"/>
      <c r="D14" s="80"/>
      <c r="E14" s="1047">
        <v>1200</v>
      </c>
      <c r="F14" s="1031"/>
      <c r="G14" s="1022">
        <v>1200</v>
      </c>
      <c r="H14" s="1040">
        <f>Tabelle615[[#Totals],[Repräsentation/Bewirtung intern]]</f>
        <v>1200</v>
      </c>
      <c r="I14" s="1002">
        <v>100</v>
      </c>
      <c r="J14" s="745">
        <v>0</v>
      </c>
      <c r="K14" s="186"/>
      <c r="L14" s="80"/>
    </row>
    <row r="15" spans="1:12" x14ac:dyDescent="0.3">
      <c r="A15" s="183" t="s">
        <v>337</v>
      </c>
      <c r="B15" s="210" t="s">
        <v>732</v>
      </c>
      <c r="C15" s="146"/>
      <c r="D15" s="146"/>
      <c r="E15" s="170">
        <v>8510</v>
      </c>
      <c r="F15" s="1027"/>
      <c r="G15" s="1022">
        <v>8510</v>
      </c>
      <c r="H15" s="1012">
        <f>Tabelle410[[#Totals],[Honorare Dozierende Fachseminare]]</f>
        <v>8510</v>
      </c>
      <c r="I15" s="1002">
        <v>2100</v>
      </c>
      <c r="J15" s="743">
        <v>4544.7</v>
      </c>
      <c r="K15" s="176"/>
      <c r="L15" s="146"/>
    </row>
    <row r="16" spans="1:12" x14ac:dyDescent="0.3">
      <c r="A16" s="183" t="s">
        <v>348</v>
      </c>
      <c r="B16" s="211" t="s">
        <v>318</v>
      </c>
      <c r="C16" s="80"/>
      <c r="D16" s="80"/>
      <c r="E16" s="1047">
        <v>2640</v>
      </c>
      <c r="F16" s="1031"/>
      <c r="G16" s="1022">
        <v>2640</v>
      </c>
      <c r="H16" s="1018">
        <f>Tabelle513[[#Totals],[Andere Honorare]]</f>
        <v>2640</v>
      </c>
      <c r="I16" s="1002">
        <v>600</v>
      </c>
      <c r="J16" s="745">
        <v>0</v>
      </c>
      <c r="K16" s="186"/>
      <c r="L16" s="80"/>
    </row>
    <row r="17" spans="1:21" x14ac:dyDescent="0.3">
      <c r="A17" s="183" t="s">
        <v>358</v>
      </c>
      <c r="B17" s="211" t="s">
        <v>733</v>
      </c>
      <c r="C17" s="80"/>
      <c r="D17" s="80"/>
      <c r="E17" s="1047">
        <v>100</v>
      </c>
      <c r="F17" s="1031"/>
      <c r="G17" s="1022">
        <v>100</v>
      </c>
      <c r="H17" s="1018">
        <f>Tabelle410[[#Totals],[Externe Reisekosten]]</f>
        <v>100</v>
      </c>
      <c r="I17" s="1002">
        <v>300</v>
      </c>
      <c r="J17" s="745">
        <v>0</v>
      </c>
      <c r="K17" s="186"/>
      <c r="L17" s="80"/>
    </row>
    <row r="18" spans="1:21" x14ac:dyDescent="0.3">
      <c r="A18" s="183" t="s">
        <v>366</v>
      </c>
      <c r="B18" s="211" t="s">
        <v>363</v>
      </c>
      <c r="C18" s="80"/>
      <c r="D18" s="80"/>
      <c r="E18" s="1047">
        <v>340</v>
      </c>
      <c r="F18" s="1031"/>
      <c r="G18" s="1022">
        <v>340</v>
      </c>
      <c r="H18" s="1018">
        <f>Tabelle410[[#Totals],[Repräsentation/Bewirtung extern]]+Tabelle513[[#Totals],[Repräsentation/Bewirtung extern]]</f>
        <v>340</v>
      </c>
      <c r="I18" s="1002">
        <v>100</v>
      </c>
      <c r="J18" s="745">
        <v>0</v>
      </c>
      <c r="K18" s="186"/>
      <c r="L18" s="80"/>
    </row>
    <row r="19" spans="1:21" x14ac:dyDescent="0.3">
      <c r="A19" s="183" t="s">
        <v>378</v>
      </c>
      <c r="B19" s="211" t="s">
        <v>734</v>
      </c>
      <c r="C19" s="80"/>
      <c r="D19" s="80"/>
      <c r="E19" s="1047">
        <v>4500</v>
      </c>
      <c r="F19" s="1031"/>
      <c r="G19" s="1022">
        <v>200</v>
      </c>
      <c r="H19" s="1018">
        <f>Tabelle410[[#Totals],[Raum + Unterkunft extern]]+Tabelle513[[#Totals],[Raum + Unterkunft extern]]</f>
        <v>180</v>
      </c>
      <c r="I19" s="1002">
        <v>500</v>
      </c>
      <c r="J19" s="745">
        <v>0</v>
      </c>
      <c r="K19" s="186"/>
      <c r="L19" s="80"/>
    </row>
    <row r="20" spans="1:21" x14ac:dyDescent="0.3">
      <c r="A20" s="183" t="s">
        <v>388</v>
      </c>
      <c r="B20" s="212" t="s">
        <v>1229</v>
      </c>
      <c r="C20" s="80"/>
      <c r="D20" s="80"/>
      <c r="E20" s="1047">
        <v>1500</v>
      </c>
      <c r="F20" s="1031"/>
      <c r="G20" s="1022">
        <v>1500</v>
      </c>
      <c r="H20" s="1040">
        <f>Tabelle410[[#Totals],[Verwaltungs- und Druckkosten]]+Tabelle513[[#Totals],[Druckkosten]]</f>
        <v>1531</v>
      </c>
      <c r="I20" s="1002">
        <v>0</v>
      </c>
      <c r="J20" s="745">
        <v>0</v>
      </c>
      <c r="K20" s="186"/>
      <c r="L20" s="80"/>
    </row>
    <row r="21" spans="1:21" x14ac:dyDescent="0.3">
      <c r="A21" s="183" t="s">
        <v>400</v>
      </c>
      <c r="B21" s="212" t="s">
        <v>397</v>
      </c>
      <c r="C21" s="80"/>
      <c r="D21" s="80"/>
      <c r="E21" s="1047">
        <v>2300</v>
      </c>
      <c r="F21" s="1031"/>
      <c r="G21" s="1022">
        <v>1800</v>
      </c>
      <c r="H21" s="1040">
        <f>Tabelle513[[#Totals],[Sonstige Kosten]]</f>
        <v>1880</v>
      </c>
      <c r="I21" s="1002">
        <v>500</v>
      </c>
      <c r="J21" s="745">
        <v>30</v>
      </c>
      <c r="K21" s="186"/>
      <c r="L21" s="80"/>
    </row>
    <row r="22" spans="1:21" ht="15" thickBot="1" x14ac:dyDescent="0.35">
      <c r="A22" s="183" t="s">
        <v>424</v>
      </c>
      <c r="B22" s="212" t="s">
        <v>675</v>
      </c>
      <c r="C22" s="80"/>
      <c r="D22" s="80"/>
      <c r="E22" s="1047">
        <v>200</v>
      </c>
      <c r="F22" s="1031"/>
      <c r="G22" s="1024">
        <v>200</v>
      </c>
      <c r="H22" s="1041">
        <f>Tabelle513[[#Totals],[Rechtsangelegenheiten]]</f>
        <v>200</v>
      </c>
      <c r="I22" s="1006">
        <v>200</v>
      </c>
      <c r="J22" s="745">
        <v>0</v>
      </c>
      <c r="K22" s="186"/>
      <c r="L22" s="80"/>
    </row>
    <row r="23" spans="1:21" ht="15" thickBot="1" x14ac:dyDescent="0.35">
      <c r="A23" s="187"/>
      <c r="B23" s="188"/>
      <c r="C23" s="188"/>
      <c r="D23" s="189" t="s">
        <v>556</v>
      </c>
      <c r="E23" s="1048">
        <f t="shared" ref="E23:J23" si="1">SUBTOTAL(109,E10:E22)</f>
        <v>44830</v>
      </c>
      <c r="F23" s="1049">
        <f t="shared" si="1"/>
        <v>0</v>
      </c>
      <c r="G23" s="1025">
        <f t="shared" si="1"/>
        <v>37600</v>
      </c>
      <c r="H23" s="1021">
        <f t="shared" si="1"/>
        <v>37691</v>
      </c>
      <c r="I23" s="1007">
        <f t="shared" si="1"/>
        <v>16900</v>
      </c>
      <c r="J23" s="171">
        <f t="shared" si="1"/>
        <v>12658.539999999999</v>
      </c>
      <c r="K23" s="190"/>
      <c r="L23" s="668"/>
    </row>
    <row r="24" spans="1:21" ht="15" thickBot="1" x14ac:dyDescent="0.35">
      <c r="A24" s="78"/>
      <c r="B24" s="80"/>
      <c r="C24" s="80"/>
      <c r="D24" s="80"/>
      <c r="E24" s="80"/>
      <c r="F24" s="80"/>
      <c r="G24" s="80"/>
      <c r="H24" s="80"/>
    </row>
    <row r="25" spans="1:21" ht="15" thickBot="1" x14ac:dyDescent="0.35">
      <c r="A25" s="78"/>
      <c r="B25" s="80"/>
      <c r="C25" s="80"/>
      <c r="D25" s="192" t="s">
        <v>735</v>
      </c>
      <c r="E25" s="195">
        <f>E8-Tabelle1822[[#Totals],[Freie Eingabe HHHJ 23-24]]</f>
        <v>-35820</v>
      </c>
      <c r="F25" s="195"/>
      <c r="G25" s="195">
        <f>G8-Tabelle1822[[#Totals],[Freie Eingabe Plan 22-23]]</f>
        <v>-25824</v>
      </c>
      <c r="H25" s="195">
        <f>H8-Tabelle1822[[#Totals],[Rechnung HHJ 22-23]]</f>
        <v>-25615</v>
      </c>
      <c r="I25" s="195">
        <f>I8-Tabelle1822[[#Totals],[Freie Eingabe Plan HHJ 21-22]]</f>
        <v>-15400</v>
      </c>
      <c r="J25" s="368"/>
      <c r="K25" s="195"/>
    </row>
    <row r="26" spans="1:21" x14ac:dyDescent="0.3">
      <c r="A26" s="77"/>
      <c r="B26" s="76"/>
      <c r="C26" s="76"/>
      <c r="D26" s="76"/>
      <c r="E26" s="76"/>
      <c r="F26" s="76"/>
      <c r="G26" s="76"/>
      <c r="H26" s="76"/>
    </row>
    <row r="27" spans="1:21" ht="15.6" x14ac:dyDescent="0.3">
      <c r="B27" s="114" t="s">
        <v>736</v>
      </c>
      <c r="C27" s="76"/>
      <c r="D27" s="76"/>
      <c r="E27" s="88"/>
      <c r="F27" s="76"/>
      <c r="G27" s="76"/>
      <c r="H27" s="76"/>
    </row>
    <row r="28" spans="1:21" ht="15.6" x14ac:dyDescent="0.3">
      <c r="B28" s="77" t="s">
        <v>737</v>
      </c>
      <c r="C28" s="76"/>
      <c r="D28" s="76"/>
      <c r="E28" s="88"/>
      <c r="F28" s="76"/>
      <c r="G28" s="76"/>
      <c r="H28" s="76"/>
    </row>
    <row r="29" spans="1:21" x14ac:dyDescent="0.3">
      <c r="B29" s="77" t="s">
        <v>738</v>
      </c>
      <c r="C29" s="80"/>
      <c r="D29" s="80"/>
      <c r="E29" s="89"/>
      <c r="F29" s="80"/>
      <c r="G29" s="80"/>
      <c r="H29" s="80"/>
    </row>
    <row r="30" spans="1:21" x14ac:dyDescent="0.3">
      <c r="A30" s="78"/>
      <c r="B30" s="80"/>
      <c r="C30" s="80"/>
      <c r="D30" s="80"/>
      <c r="E30" s="89"/>
      <c r="F30" s="80"/>
      <c r="G30" s="80"/>
      <c r="H30" s="80"/>
    </row>
    <row r="31" spans="1:21" x14ac:dyDescent="0.3">
      <c r="A31" s="77"/>
      <c r="B31" s="76"/>
      <c r="C31" s="76"/>
      <c r="D31" s="76"/>
      <c r="E31" s="76"/>
      <c r="F31" s="76"/>
      <c r="G31" s="76"/>
      <c r="H31" s="76"/>
    </row>
    <row r="32" spans="1:21" ht="15.6" x14ac:dyDescent="0.3">
      <c r="A32" s="7"/>
      <c r="B32" s="7" t="s">
        <v>1231</v>
      </c>
      <c r="D32" s="6" t="s">
        <v>739</v>
      </c>
      <c r="R32" s="7"/>
      <c r="S32" s="7" t="s">
        <v>1231</v>
      </c>
      <c r="U32" s="6" t="s">
        <v>739</v>
      </c>
    </row>
    <row r="33" spans="1:31" ht="16.2" thickBot="1" x14ac:dyDescent="0.35">
      <c r="A33" s="7"/>
      <c r="B33" s="1036" t="s">
        <v>1392</v>
      </c>
      <c r="R33" s="7"/>
    </row>
    <row r="34" spans="1:31" ht="15" thickBot="1" x14ac:dyDescent="0.35">
      <c r="A34" s="369"/>
      <c r="B34" s="370" t="s">
        <v>656</v>
      </c>
      <c r="C34" s="371" t="s">
        <v>71</v>
      </c>
      <c r="D34" s="372" t="s">
        <v>84</v>
      </c>
      <c r="E34" s="372" t="s">
        <v>91</v>
      </c>
      <c r="F34" s="373" t="s">
        <v>337</v>
      </c>
      <c r="G34" s="373"/>
      <c r="H34" s="373" t="s">
        <v>358</v>
      </c>
      <c r="I34" s="373" t="s">
        <v>366</v>
      </c>
      <c r="J34" s="373" t="s">
        <v>378</v>
      </c>
      <c r="K34" s="373" t="s">
        <v>388</v>
      </c>
      <c r="L34" s="374"/>
      <c r="R34" s="369"/>
      <c r="S34" s="370" t="s">
        <v>656</v>
      </c>
      <c r="T34" s="371" t="s">
        <v>71</v>
      </c>
      <c r="U34" s="372" t="s">
        <v>84</v>
      </c>
      <c r="V34" s="372" t="s">
        <v>91</v>
      </c>
      <c r="W34" s="373" t="s">
        <v>337</v>
      </c>
      <c r="X34" s="373"/>
      <c r="Y34" s="373" t="s">
        <v>358</v>
      </c>
      <c r="Z34" s="373" t="s">
        <v>366</v>
      </c>
      <c r="AA34" s="373" t="s">
        <v>378</v>
      </c>
      <c r="AB34" s="373" t="s">
        <v>388</v>
      </c>
      <c r="AC34" s="374"/>
    </row>
    <row r="35" spans="1:31" ht="55.8" thickBot="1" x14ac:dyDescent="0.35">
      <c r="A35" s="95" t="s">
        <v>740</v>
      </c>
      <c r="B35" s="139" t="s">
        <v>741</v>
      </c>
      <c r="C35" s="375" t="s">
        <v>742</v>
      </c>
      <c r="D35" s="376" t="s">
        <v>651</v>
      </c>
      <c r="E35" s="376" t="s">
        <v>743</v>
      </c>
      <c r="F35" s="376" t="s">
        <v>315</v>
      </c>
      <c r="G35" s="376" t="s">
        <v>748</v>
      </c>
      <c r="H35" s="376" t="s">
        <v>321</v>
      </c>
      <c r="I35" s="376" t="s">
        <v>744</v>
      </c>
      <c r="J35" s="376" t="s">
        <v>745</v>
      </c>
      <c r="K35" s="376" t="s">
        <v>1222</v>
      </c>
      <c r="L35" s="377" t="s">
        <v>607</v>
      </c>
      <c r="R35" s="95" t="s">
        <v>740</v>
      </c>
      <c r="S35" s="139" t="s">
        <v>741</v>
      </c>
      <c r="T35" s="375" t="s">
        <v>742</v>
      </c>
      <c r="U35" s="376" t="s">
        <v>651</v>
      </c>
      <c r="V35" s="376" t="s">
        <v>743</v>
      </c>
      <c r="W35" s="376" t="s">
        <v>315</v>
      </c>
      <c r="X35" s="376" t="s">
        <v>748</v>
      </c>
      <c r="Y35" s="376" t="s">
        <v>321</v>
      </c>
      <c r="Z35" s="376" t="s">
        <v>744</v>
      </c>
      <c r="AA35" s="376" t="s">
        <v>745</v>
      </c>
      <c r="AB35" s="376" t="s">
        <v>1222</v>
      </c>
      <c r="AC35" s="377" t="s">
        <v>607</v>
      </c>
    </row>
    <row r="36" spans="1:31" s="81" customFormat="1" ht="142.5" customHeight="1" outlineLevel="1" x14ac:dyDescent="0.3">
      <c r="A36" s="90">
        <f>ROW(A1)</f>
        <v>1</v>
      </c>
      <c r="B36" s="662" t="s">
        <v>1278</v>
      </c>
      <c r="C36" s="378"/>
      <c r="D36" s="291"/>
      <c r="E36" s="291"/>
      <c r="F36" s="291"/>
      <c r="G36" s="291"/>
      <c r="H36" s="291"/>
      <c r="I36" s="291"/>
      <c r="J36" s="291"/>
      <c r="K36" s="291"/>
      <c r="L36" s="295">
        <f>SUM(C36:E36)-SUM(F36:K36)</f>
        <v>0</v>
      </c>
      <c r="N36" s="660" t="s">
        <v>1288</v>
      </c>
      <c r="R36" s="90">
        <f t="shared" ref="R36:R56" si="2">ROW(A1)</f>
        <v>1</v>
      </c>
      <c r="S36" s="662" t="s">
        <v>1278</v>
      </c>
      <c r="T36" s="378"/>
      <c r="U36" s="291"/>
      <c r="V36" s="291"/>
      <c r="W36" s="291"/>
      <c r="X36" s="291"/>
      <c r="Y36" s="291"/>
      <c r="Z36" s="291"/>
      <c r="AA36" s="291"/>
      <c r="AB36" s="291"/>
      <c r="AC36" s="295">
        <f>SUM(T36:V36)-SUM(W36:AB36)</f>
        <v>0</v>
      </c>
      <c r="AE36" s="660" t="s">
        <v>1288</v>
      </c>
    </row>
    <row r="37" spans="1:31" s="81" customFormat="1" ht="37.5" customHeight="1" outlineLevel="1" x14ac:dyDescent="0.3">
      <c r="A37" s="90">
        <f t="shared" ref="A37:A56" si="3">ROW(A2)</f>
        <v>2</v>
      </c>
      <c r="B37" s="1051" t="s">
        <v>1371</v>
      </c>
      <c r="C37" s="115">
        <v>1650</v>
      </c>
      <c r="D37" s="116"/>
      <c r="E37" s="116"/>
      <c r="F37" s="1052">
        <f>5*330</f>
        <v>1650</v>
      </c>
      <c r="G37" s="116"/>
      <c r="H37" s="116"/>
      <c r="I37" s="116"/>
      <c r="J37" s="116"/>
      <c r="K37" s="116"/>
      <c r="L37" s="117">
        <f t="shared" ref="L37:L56" si="4">SUM(C37:E37)-SUM(F37:K37)</f>
        <v>0</v>
      </c>
      <c r="R37" s="90">
        <f t="shared" si="2"/>
        <v>2</v>
      </c>
      <c r="S37" s="273" t="s">
        <v>1277</v>
      </c>
      <c r="T37" s="115">
        <v>2902.5</v>
      </c>
      <c r="U37" s="116"/>
      <c r="V37" s="116"/>
      <c r="W37" s="116">
        <v>2200</v>
      </c>
      <c r="X37" s="116">
        <v>312.5</v>
      </c>
      <c r="Y37" s="116"/>
      <c r="Z37" s="116">
        <v>50</v>
      </c>
      <c r="AA37" s="116"/>
      <c r="AB37" s="116">
        <v>340</v>
      </c>
      <c r="AC37" s="117">
        <f t="shared" ref="AC37:AC56" si="5">SUM(T37:V37)-SUM(W37:AB37)</f>
        <v>0</v>
      </c>
    </row>
    <row r="38" spans="1:31" s="81" customFormat="1" ht="42" customHeight="1" outlineLevel="1" x14ac:dyDescent="0.3">
      <c r="A38" s="90">
        <f t="shared" si="3"/>
        <v>3</v>
      </c>
      <c r="B38" s="1051" t="s">
        <v>1372</v>
      </c>
      <c r="C38" s="115">
        <v>1650</v>
      </c>
      <c r="D38" s="116"/>
      <c r="E38" s="116"/>
      <c r="F38" s="1052">
        <f>5*330</f>
        <v>1650</v>
      </c>
      <c r="G38" s="116"/>
      <c r="H38" s="116"/>
      <c r="I38" s="116"/>
      <c r="J38" s="116"/>
      <c r="K38" s="116"/>
      <c r="L38" s="117">
        <f t="shared" si="4"/>
        <v>0</v>
      </c>
      <c r="R38" s="90">
        <f t="shared" si="2"/>
        <v>3</v>
      </c>
      <c r="S38" s="273" t="s">
        <v>1256</v>
      </c>
      <c r="T38" s="115">
        <v>3642</v>
      </c>
      <c r="U38" s="116"/>
      <c r="V38" s="116"/>
      <c r="W38" s="116">
        <v>3080</v>
      </c>
      <c r="X38" s="116">
        <v>250</v>
      </c>
      <c r="Y38" s="116"/>
      <c r="Z38" s="116">
        <v>40</v>
      </c>
      <c r="AA38" s="116"/>
      <c r="AB38" s="116">
        <v>272</v>
      </c>
      <c r="AC38" s="117">
        <f t="shared" si="5"/>
        <v>0</v>
      </c>
    </row>
    <row r="39" spans="1:31" s="81" customFormat="1" ht="39.75" customHeight="1" outlineLevel="1" x14ac:dyDescent="0.3">
      <c r="A39" s="90">
        <f t="shared" si="3"/>
        <v>4</v>
      </c>
      <c r="B39" s="1051" t="s">
        <v>1373</v>
      </c>
      <c r="C39" s="115">
        <v>1650</v>
      </c>
      <c r="D39" s="116"/>
      <c r="E39" s="116"/>
      <c r="F39" s="1052">
        <f>5*330</f>
        <v>1650</v>
      </c>
      <c r="G39" s="116"/>
      <c r="H39" s="116"/>
      <c r="I39" s="116"/>
      <c r="J39" s="116"/>
      <c r="K39" s="116"/>
      <c r="L39" s="117">
        <f t="shared" si="4"/>
        <v>0</v>
      </c>
      <c r="R39" s="90">
        <f t="shared" si="2"/>
        <v>4</v>
      </c>
      <c r="S39" s="273" t="s">
        <v>1255</v>
      </c>
      <c r="T39" s="115">
        <v>2731.5</v>
      </c>
      <c r="U39" s="116"/>
      <c r="V39" s="116"/>
      <c r="W39" s="116">
        <v>2310</v>
      </c>
      <c r="X39" s="116">
        <v>187.5</v>
      </c>
      <c r="Y39" s="116"/>
      <c r="Z39" s="116">
        <v>30</v>
      </c>
      <c r="AA39" s="116"/>
      <c r="AB39" s="116">
        <v>204</v>
      </c>
      <c r="AC39" s="117">
        <f t="shared" si="5"/>
        <v>0</v>
      </c>
    </row>
    <row r="40" spans="1:31" s="81" customFormat="1" outlineLevel="1" x14ac:dyDescent="0.3">
      <c r="A40" s="90">
        <f t="shared" si="3"/>
        <v>5</v>
      </c>
      <c r="B40" s="1051" t="s">
        <v>1374</v>
      </c>
      <c r="C40" s="115">
        <v>2400</v>
      </c>
      <c r="D40" s="116"/>
      <c r="E40" s="116"/>
      <c r="F40" s="1052">
        <f>4*600</f>
        <v>2400</v>
      </c>
      <c r="G40" s="116"/>
      <c r="H40" s="116"/>
      <c r="I40" s="116"/>
      <c r="J40" s="116"/>
      <c r="K40" s="116"/>
      <c r="L40" s="117">
        <f t="shared" si="4"/>
        <v>0</v>
      </c>
      <c r="R40" s="90">
        <f t="shared" si="2"/>
        <v>5</v>
      </c>
      <c r="S40" s="273"/>
      <c r="T40" s="115"/>
      <c r="U40" s="116"/>
      <c r="V40" s="116"/>
      <c r="W40" s="289"/>
      <c r="X40" s="116"/>
      <c r="Y40" s="116"/>
      <c r="Z40" s="116"/>
      <c r="AA40" s="116"/>
      <c r="AB40" s="116"/>
      <c r="AC40" s="117">
        <f t="shared" si="5"/>
        <v>0</v>
      </c>
    </row>
    <row r="41" spans="1:31" s="81" customFormat="1" outlineLevel="1" x14ac:dyDescent="0.3">
      <c r="A41" s="90">
        <f t="shared" si="3"/>
        <v>6</v>
      </c>
      <c r="B41" s="1051" t="s">
        <v>1375</v>
      </c>
      <c r="C41" s="115">
        <v>500</v>
      </c>
      <c r="D41" s="116"/>
      <c r="E41" s="116"/>
      <c r="F41" s="1052">
        <v>500</v>
      </c>
      <c r="G41" s="116"/>
      <c r="H41" s="116"/>
      <c r="I41" s="116"/>
      <c r="J41" s="116"/>
      <c r="K41" s="116"/>
      <c r="L41" s="117">
        <f t="shared" si="4"/>
        <v>0</v>
      </c>
      <c r="R41" s="90">
        <f t="shared" si="2"/>
        <v>6</v>
      </c>
      <c r="S41" s="273"/>
      <c r="T41" s="115"/>
      <c r="U41" s="116"/>
      <c r="V41" s="116"/>
      <c r="W41" s="290"/>
      <c r="X41" s="116"/>
      <c r="Y41" s="116"/>
      <c r="Z41" s="116"/>
      <c r="AA41" s="116"/>
      <c r="AB41" s="116"/>
      <c r="AC41" s="117">
        <f t="shared" si="5"/>
        <v>0</v>
      </c>
    </row>
    <row r="42" spans="1:31" s="81" customFormat="1" outlineLevel="1" x14ac:dyDescent="0.3">
      <c r="A42" s="90">
        <f t="shared" si="3"/>
        <v>7</v>
      </c>
      <c r="B42" s="1051"/>
      <c r="C42" s="115"/>
      <c r="D42" s="116"/>
      <c r="E42" s="116"/>
      <c r="F42" s="1050"/>
      <c r="G42" s="116"/>
      <c r="H42" s="116"/>
      <c r="I42" s="116"/>
      <c r="J42" s="116"/>
      <c r="K42" s="116"/>
      <c r="L42" s="117">
        <f t="shared" si="4"/>
        <v>0</v>
      </c>
      <c r="R42" s="90">
        <f t="shared" si="2"/>
        <v>7</v>
      </c>
      <c r="S42" s="273"/>
      <c r="T42" s="115"/>
      <c r="U42" s="116"/>
      <c r="V42" s="116"/>
      <c r="W42" s="289"/>
      <c r="X42" s="116"/>
      <c r="Y42" s="116"/>
      <c r="Z42" s="116"/>
      <c r="AA42" s="116"/>
      <c r="AB42" s="116"/>
      <c r="AC42" s="117">
        <f t="shared" si="5"/>
        <v>0</v>
      </c>
    </row>
    <row r="43" spans="1:31" s="81" customFormat="1" outlineLevel="1" x14ac:dyDescent="0.3">
      <c r="A43" s="90">
        <f t="shared" si="3"/>
        <v>8</v>
      </c>
      <c r="B43" s="1051"/>
      <c r="C43" s="115"/>
      <c r="D43" s="116"/>
      <c r="E43" s="116"/>
      <c r="F43" s="1050"/>
      <c r="G43" s="116"/>
      <c r="H43" s="116"/>
      <c r="I43" s="116"/>
      <c r="J43" s="116"/>
      <c r="K43" s="116"/>
      <c r="L43" s="117">
        <f t="shared" si="4"/>
        <v>0</v>
      </c>
      <c r="R43" s="90">
        <f t="shared" si="2"/>
        <v>8</v>
      </c>
      <c r="S43" s="273"/>
      <c r="T43" s="115"/>
      <c r="U43" s="116"/>
      <c r="V43" s="116"/>
      <c r="W43" s="290"/>
      <c r="X43" s="116"/>
      <c r="Y43" s="116"/>
      <c r="Z43" s="116"/>
      <c r="AA43" s="116"/>
      <c r="AB43" s="116"/>
      <c r="AC43" s="117">
        <f t="shared" si="5"/>
        <v>0</v>
      </c>
    </row>
    <row r="44" spans="1:31" s="81" customFormat="1" outlineLevel="1" x14ac:dyDescent="0.3">
      <c r="A44" s="90">
        <f t="shared" si="3"/>
        <v>9</v>
      </c>
      <c r="B44" s="1051"/>
      <c r="C44" s="115"/>
      <c r="D44" s="116"/>
      <c r="E44" s="116"/>
      <c r="F44" s="1050"/>
      <c r="G44" s="116"/>
      <c r="H44" s="116"/>
      <c r="I44" s="116"/>
      <c r="J44" s="116"/>
      <c r="K44" s="116"/>
      <c r="L44" s="117">
        <f t="shared" si="4"/>
        <v>0</v>
      </c>
      <c r="R44" s="90">
        <f t="shared" si="2"/>
        <v>9</v>
      </c>
      <c r="S44" s="273"/>
      <c r="T44" s="115"/>
      <c r="U44" s="116"/>
      <c r="V44" s="116"/>
      <c r="W44" s="289"/>
      <c r="X44" s="116"/>
      <c r="Y44" s="116"/>
      <c r="Z44" s="116"/>
      <c r="AA44" s="116"/>
      <c r="AB44" s="116"/>
      <c r="AC44" s="117">
        <f t="shared" si="5"/>
        <v>0</v>
      </c>
    </row>
    <row r="45" spans="1:31" s="81" customFormat="1" outlineLevel="1" x14ac:dyDescent="0.3">
      <c r="A45" s="90">
        <f t="shared" si="3"/>
        <v>10</v>
      </c>
      <c r="B45" s="273"/>
      <c r="C45" s="115"/>
      <c r="D45" s="116"/>
      <c r="E45" s="116"/>
      <c r="F45" s="290"/>
      <c r="G45" s="116"/>
      <c r="H45" s="116"/>
      <c r="I45" s="116"/>
      <c r="J45" s="116"/>
      <c r="K45" s="116"/>
      <c r="L45" s="117">
        <f t="shared" si="4"/>
        <v>0</v>
      </c>
      <c r="R45" s="90">
        <f t="shared" si="2"/>
        <v>10</v>
      </c>
      <c r="S45" s="273"/>
      <c r="T45" s="115"/>
      <c r="U45" s="116"/>
      <c r="V45" s="116"/>
      <c r="W45" s="290"/>
      <c r="X45" s="116"/>
      <c r="Y45" s="116"/>
      <c r="Z45" s="116"/>
      <c r="AA45" s="116"/>
      <c r="AB45" s="116"/>
      <c r="AC45" s="117">
        <f t="shared" si="5"/>
        <v>0</v>
      </c>
    </row>
    <row r="46" spans="1:31" s="81" customFormat="1" outlineLevel="1" x14ac:dyDescent="0.3">
      <c r="A46" s="90">
        <f t="shared" si="3"/>
        <v>11</v>
      </c>
      <c r="B46" s="273"/>
      <c r="C46" s="115"/>
      <c r="D46" s="116"/>
      <c r="E46" s="116"/>
      <c r="F46" s="289"/>
      <c r="G46" s="116"/>
      <c r="H46" s="116"/>
      <c r="I46" s="116"/>
      <c r="J46" s="116"/>
      <c r="K46" s="116"/>
      <c r="L46" s="117">
        <f t="shared" si="4"/>
        <v>0</v>
      </c>
      <c r="R46" s="90">
        <f t="shared" si="2"/>
        <v>11</v>
      </c>
      <c r="S46" s="273"/>
      <c r="T46" s="115"/>
      <c r="U46" s="116"/>
      <c r="V46" s="116"/>
      <c r="W46" s="289"/>
      <c r="X46" s="116"/>
      <c r="Y46" s="116"/>
      <c r="Z46" s="116"/>
      <c r="AA46" s="116"/>
      <c r="AB46" s="116"/>
      <c r="AC46" s="117">
        <f t="shared" si="5"/>
        <v>0</v>
      </c>
    </row>
    <row r="47" spans="1:31" s="81" customFormat="1" outlineLevel="1" x14ac:dyDescent="0.3">
      <c r="A47" s="90">
        <f t="shared" si="3"/>
        <v>12</v>
      </c>
      <c r="B47" s="273"/>
      <c r="C47" s="115"/>
      <c r="D47" s="116"/>
      <c r="E47" s="116"/>
      <c r="F47" s="116"/>
      <c r="G47" s="116"/>
      <c r="H47" s="116"/>
      <c r="I47" s="116"/>
      <c r="J47" s="116"/>
      <c r="K47" s="116"/>
      <c r="L47" s="117">
        <f t="shared" si="4"/>
        <v>0</v>
      </c>
      <c r="R47" s="90">
        <f t="shared" si="2"/>
        <v>12</v>
      </c>
      <c r="S47" s="273"/>
      <c r="T47" s="115"/>
      <c r="U47" s="116"/>
      <c r="V47" s="116"/>
      <c r="W47" s="116"/>
      <c r="X47" s="116"/>
      <c r="Y47" s="116"/>
      <c r="Z47" s="116"/>
      <c r="AA47" s="116"/>
      <c r="AB47" s="116"/>
      <c r="AC47" s="117">
        <f t="shared" si="5"/>
        <v>0</v>
      </c>
    </row>
    <row r="48" spans="1:31" s="81" customFormat="1" outlineLevel="1" x14ac:dyDescent="0.3">
      <c r="A48" s="90">
        <f t="shared" si="3"/>
        <v>13</v>
      </c>
      <c r="B48" s="273"/>
      <c r="C48" s="115"/>
      <c r="D48" s="116"/>
      <c r="E48" s="116"/>
      <c r="F48" s="116"/>
      <c r="G48" s="116"/>
      <c r="H48" s="116"/>
      <c r="I48" s="116"/>
      <c r="J48" s="116"/>
      <c r="K48" s="116"/>
      <c r="L48" s="117">
        <f t="shared" si="4"/>
        <v>0</v>
      </c>
      <c r="R48" s="90">
        <f t="shared" si="2"/>
        <v>13</v>
      </c>
      <c r="S48" s="273"/>
      <c r="T48" s="115"/>
      <c r="U48" s="116"/>
      <c r="V48" s="116"/>
      <c r="W48" s="116"/>
      <c r="X48" s="116"/>
      <c r="Y48" s="116"/>
      <c r="Z48" s="116"/>
      <c r="AA48" s="116"/>
      <c r="AB48" s="116"/>
      <c r="AC48" s="117">
        <f t="shared" si="5"/>
        <v>0</v>
      </c>
    </row>
    <row r="49" spans="1:32" s="81" customFormat="1" outlineLevel="1" x14ac:dyDescent="0.3">
      <c r="A49" s="90">
        <f t="shared" si="3"/>
        <v>14</v>
      </c>
      <c r="B49" s="273"/>
      <c r="C49" s="115"/>
      <c r="D49" s="116"/>
      <c r="E49" s="116"/>
      <c r="F49" s="116"/>
      <c r="G49" s="116"/>
      <c r="H49" s="116"/>
      <c r="I49" s="116"/>
      <c r="J49" s="116"/>
      <c r="K49" s="116"/>
      <c r="L49" s="117">
        <f t="shared" si="4"/>
        <v>0</v>
      </c>
      <c r="R49" s="90">
        <f t="shared" si="2"/>
        <v>14</v>
      </c>
      <c r="S49" s="273"/>
      <c r="T49" s="115"/>
      <c r="U49" s="116"/>
      <c r="V49" s="116"/>
      <c r="W49" s="116"/>
      <c r="X49" s="116"/>
      <c r="Y49" s="116"/>
      <c r="Z49" s="116"/>
      <c r="AA49" s="116"/>
      <c r="AB49" s="116"/>
      <c r="AC49" s="117">
        <f t="shared" si="5"/>
        <v>0</v>
      </c>
    </row>
    <row r="50" spans="1:32" s="81" customFormat="1" outlineLevel="1" x14ac:dyDescent="0.3">
      <c r="A50" s="90">
        <f t="shared" si="3"/>
        <v>15</v>
      </c>
      <c r="B50" s="273"/>
      <c r="C50" s="115"/>
      <c r="D50" s="116"/>
      <c r="E50" s="116"/>
      <c r="F50" s="116"/>
      <c r="G50" s="116"/>
      <c r="H50" s="116"/>
      <c r="I50" s="116"/>
      <c r="J50" s="116"/>
      <c r="K50" s="116"/>
      <c r="L50" s="117">
        <f t="shared" si="4"/>
        <v>0</v>
      </c>
      <c r="R50" s="90">
        <f t="shared" si="2"/>
        <v>15</v>
      </c>
      <c r="S50" s="273"/>
      <c r="T50" s="115"/>
      <c r="U50" s="116"/>
      <c r="V50" s="116"/>
      <c r="W50" s="116"/>
      <c r="X50" s="116"/>
      <c r="Y50" s="116"/>
      <c r="Z50" s="116"/>
      <c r="AA50" s="116"/>
      <c r="AB50" s="116"/>
      <c r="AC50" s="117">
        <f t="shared" si="5"/>
        <v>0</v>
      </c>
    </row>
    <row r="51" spans="1:32" s="81" customFormat="1" outlineLevel="1" x14ac:dyDescent="0.3">
      <c r="A51" s="90">
        <f t="shared" si="3"/>
        <v>16</v>
      </c>
      <c r="B51" s="273"/>
      <c r="C51" s="115"/>
      <c r="D51" s="116"/>
      <c r="E51" s="116"/>
      <c r="F51" s="116"/>
      <c r="G51" s="116"/>
      <c r="H51" s="116"/>
      <c r="I51" s="116"/>
      <c r="J51" s="116"/>
      <c r="K51" s="116"/>
      <c r="L51" s="117">
        <f t="shared" si="4"/>
        <v>0</v>
      </c>
      <c r="R51" s="90">
        <f t="shared" si="2"/>
        <v>16</v>
      </c>
      <c r="S51" s="273"/>
      <c r="T51" s="115"/>
      <c r="U51" s="116"/>
      <c r="V51" s="116"/>
      <c r="W51" s="116"/>
      <c r="X51" s="116"/>
      <c r="Y51" s="116"/>
      <c r="Z51" s="116"/>
      <c r="AA51" s="116"/>
      <c r="AB51" s="116"/>
      <c r="AC51" s="117">
        <f t="shared" si="5"/>
        <v>0</v>
      </c>
    </row>
    <row r="52" spans="1:32" s="81" customFormat="1" outlineLevel="1" x14ac:dyDescent="0.3">
      <c r="A52" s="90">
        <f t="shared" si="3"/>
        <v>17</v>
      </c>
      <c r="B52" s="273"/>
      <c r="C52" s="115"/>
      <c r="D52" s="116"/>
      <c r="E52" s="116"/>
      <c r="F52" s="116"/>
      <c r="G52" s="116"/>
      <c r="H52" s="116"/>
      <c r="I52" s="116"/>
      <c r="J52" s="116"/>
      <c r="K52" s="116"/>
      <c r="L52" s="117">
        <f t="shared" si="4"/>
        <v>0</v>
      </c>
      <c r="R52" s="90">
        <f t="shared" si="2"/>
        <v>17</v>
      </c>
      <c r="S52" s="273"/>
      <c r="T52" s="115"/>
      <c r="U52" s="116"/>
      <c r="V52" s="116"/>
      <c r="W52" s="116"/>
      <c r="X52" s="116"/>
      <c r="Y52" s="116"/>
      <c r="Z52" s="116"/>
      <c r="AA52" s="116"/>
      <c r="AB52" s="116"/>
      <c r="AC52" s="117">
        <f t="shared" si="5"/>
        <v>0</v>
      </c>
    </row>
    <row r="53" spans="1:32" s="81" customFormat="1" outlineLevel="1" x14ac:dyDescent="0.3">
      <c r="A53" s="90">
        <f t="shared" si="3"/>
        <v>18</v>
      </c>
      <c r="B53" s="273"/>
      <c r="C53" s="115"/>
      <c r="D53" s="116"/>
      <c r="E53" s="116"/>
      <c r="F53" s="116"/>
      <c r="G53" s="116"/>
      <c r="H53" s="116"/>
      <c r="I53" s="116"/>
      <c r="J53" s="116"/>
      <c r="K53" s="116"/>
      <c r="L53" s="117">
        <f t="shared" si="4"/>
        <v>0</v>
      </c>
      <c r="R53" s="90">
        <f t="shared" si="2"/>
        <v>18</v>
      </c>
      <c r="S53" s="273"/>
      <c r="T53" s="115"/>
      <c r="U53" s="116"/>
      <c r="V53" s="116"/>
      <c r="W53" s="116"/>
      <c r="X53" s="116"/>
      <c r="Y53" s="116"/>
      <c r="Z53" s="116"/>
      <c r="AA53" s="116"/>
      <c r="AB53" s="116"/>
      <c r="AC53" s="117">
        <f t="shared" si="5"/>
        <v>0</v>
      </c>
    </row>
    <row r="54" spans="1:32" s="81" customFormat="1" outlineLevel="1" x14ac:dyDescent="0.3">
      <c r="A54" s="90">
        <f t="shared" si="3"/>
        <v>19</v>
      </c>
      <c r="B54" s="273"/>
      <c r="C54" s="115"/>
      <c r="D54" s="116"/>
      <c r="E54" s="116"/>
      <c r="F54" s="116"/>
      <c r="G54" s="116"/>
      <c r="H54" s="116"/>
      <c r="I54" s="116"/>
      <c r="J54" s="116"/>
      <c r="K54" s="116"/>
      <c r="L54" s="117">
        <f t="shared" si="4"/>
        <v>0</v>
      </c>
      <c r="R54" s="90">
        <f t="shared" si="2"/>
        <v>19</v>
      </c>
      <c r="S54" s="273"/>
      <c r="T54" s="115"/>
      <c r="U54" s="116"/>
      <c r="V54" s="116"/>
      <c r="W54" s="116"/>
      <c r="X54" s="116"/>
      <c r="Y54" s="116"/>
      <c r="Z54" s="116"/>
      <c r="AA54" s="116"/>
      <c r="AB54" s="116"/>
      <c r="AC54" s="117">
        <f t="shared" si="5"/>
        <v>0</v>
      </c>
    </row>
    <row r="55" spans="1:32" s="81" customFormat="1" outlineLevel="1" x14ac:dyDescent="0.3">
      <c r="A55" s="90">
        <f t="shared" si="3"/>
        <v>20</v>
      </c>
      <c r="B55" s="273"/>
      <c r="C55" s="115"/>
      <c r="D55" s="116"/>
      <c r="E55" s="116"/>
      <c r="F55" s="116"/>
      <c r="G55" s="116"/>
      <c r="H55" s="116"/>
      <c r="I55" s="116"/>
      <c r="J55" s="116"/>
      <c r="K55" s="116"/>
      <c r="L55" s="117">
        <f t="shared" si="4"/>
        <v>0</v>
      </c>
      <c r="R55" s="90">
        <f t="shared" si="2"/>
        <v>20</v>
      </c>
      <c r="S55" s="273"/>
      <c r="T55" s="115"/>
      <c r="U55" s="116"/>
      <c r="V55" s="116"/>
      <c r="W55" s="116"/>
      <c r="X55" s="116"/>
      <c r="Y55" s="116"/>
      <c r="Z55" s="116"/>
      <c r="AA55" s="116"/>
      <c r="AB55" s="116"/>
      <c r="AC55" s="117">
        <f t="shared" si="5"/>
        <v>0</v>
      </c>
    </row>
    <row r="56" spans="1:32" s="81" customFormat="1" outlineLevel="1" x14ac:dyDescent="0.3">
      <c r="A56" s="90">
        <f t="shared" si="3"/>
        <v>21</v>
      </c>
      <c r="B56" s="284" t="s">
        <v>606</v>
      </c>
      <c r="C56" s="118"/>
      <c r="D56" s="119">
        <v>0</v>
      </c>
      <c r="E56" s="119">
        <v>0</v>
      </c>
      <c r="F56" s="119">
        <v>920</v>
      </c>
      <c r="G56" s="119">
        <v>150</v>
      </c>
      <c r="H56" s="119">
        <v>100</v>
      </c>
      <c r="I56" s="119">
        <v>30</v>
      </c>
      <c r="J56" s="119">
        <v>0</v>
      </c>
      <c r="K56" s="119">
        <v>1500</v>
      </c>
      <c r="L56" s="117">
        <f t="shared" si="4"/>
        <v>-2700</v>
      </c>
      <c r="R56" s="90">
        <f t="shared" si="2"/>
        <v>21</v>
      </c>
      <c r="S56" s="284" t="s">
        <v>606</v>
      </c>
      <c r="T56" s="118">
        <v>1300</v>
      </c>
      <c r="U56" s="119">
        <v>0</v>
      </c>
      <c r="V56" s="119">
        <v>0</v>
      </c>
      <c r="W56" s="119">
        <v>920</v>
      </c>
      <c r="X56" s="119">
        <v>150</v>
      </c>
      <c r="Y56" s="119">
        <v>100</v>
      </c>
      <c r="Z56" s="119">
        <v>30</v>
      </c>
      <c r="AA56" s="119">
        <v>0</v>
      </c>
      <c r="AB56" s="119">
        <v>200</v>
      </c>
      <c r="AC56" s="117">
        <f t="shared" si="5"/>
        <v>-100</v>
      </c>
    </row>
    <row r="57" spans="1:32" s="81" customFormat="1" ht="15" outlineLevel="1" thickBot="1" x14ac:dyDescent="0.35">
      <c r="A57" s="90"/>
      <c r="C57" s="121"/>
      <c r="D57" s="116"/>
      <c r="E57" s="116"/>
      <c r="F57" s="122"/>
      <c r="G57" s="116"/>
      <c r="H57" s="116"/>
      <c r="I57" s="116"/>
      <c r="J57" s="116"/>
      <c r="K57" s="116"/>
      <c r="L57" s="123"/>
      <c r="R57" s="90"/>
      <c r="T57" s="121"/>
      <c r="U57" s="116"/>
      <c r="V57" s="116"/>
      <c r="W57" s="122"/>
      <c r="X57" s="116"/>
      <c r="Y57" s="116"/>
      <c r="Z57" s="116"/>
      <c r="AA57" s="116"/>
      <c r="AB57" s="116"/>
      <c r="AC57" s="123"/>
    </row>
    <row r="58" spans="1:32" s="98" customFormat="1" ht="20.25" customHeight="1" thickBot="1" x14ac:dyDescent="0.35">
      <c r="A58" s="96"/>
      <c r="B58" s="97" t="s">
        <v>697</v>
      </c>
      <c r="C58" s="272">
        <f>SUBTOTAL(9,Tabelle41048[Teilnahmebeiträge Fachseminare])</f>
        <v>7850</v>
      </c>
      <c r="D58" s="386">
        <f>SUBTOTAL(9,Tabelle41048[Teilnahmebeiträge Veranstaltungen])</f>
        <v>0</v>
      </c>
      <c r="E58" s="386">
        <f>SUBTOTAL(9,Tabelle41048[Sonstige Einnahmen])</f>
        <v>0</v>
      </c>
      <c r="F58" s="387">
        <f>SUBTOTAL(9,Tabelle41048[Honorare Dozierende Fachseminare])</f>
        <v>8770</v>
      </c>
      <c r="G58" s="387">
        <f>SUBTOTAL(9,Tabelle41048[Aufwandsentschädigungen])</f>
        <v>150</v>
      </c>
      <c r="H58" s="387">
        <f>SUBTOTAL(9,Tabelle41048[Externe Reisekosten])</f>
        <v>100</v>
      </c>
      <c r="I58" s="387">
        <f>SUBTOTAL(9,Tabelle41048[Repräsentation/Bewirtung extern])</f>
        <v>30</v>
      </c>
      <c r="J58" s="387">
        <f>SUBTOTAL(9,Tabelle41048[Raum + Unterkunft extern])</f>
        <v>0</v>
      </c>
      <c r="K58" s="387">
        <f>SUBTOTAL(9,Tabelle41048[Verwaltungs- und Druckkosten])</f>
        <v>1500</v>
      </c>
      <c r="L58" s="666">
        <f>SUBTOTAL(9,Tabelle41048[Gesamt])</f>
        <v>-2700</v>
      </c>
      <c r="R58" s="96"/>
      <c r="S58" s="97" t="s">
        <v>697</v>
      </c>
      <c r="T58" s="272">
        <f>SUBTOTAL(9,Tabelle410[Teilnahmebeiträge Fachseminare])</f>
        <v>10576</v>
      </c>
      <c r="U58" s="386">
        <f>SUBTOTAL(9,Tabelle410[Teilnahmebeiträge Veranstaltungen])</f>
        <v>0</v>
      </c>
      <c r="V58" s="386">
        <f>SUBTOTAL(9,Tabelle410[Sonstige Einnahmen])</f>
        <v>0</v>
      </c>
      <c r="W58" s="387">
        <f>SUBTOTAL(9,Tabelle410[Honorare Dozierende Fachseminare])</f>
        <v>8510</v>
      </c>
      <c r="X58" s="387">
        <f>SUBTOTAL(9,Tabelle410[Aufwandsentschädigungen])</f>
        <v>900</v>
      </c>
      <c r="Y58" s="387">
        <f>SUBTOTAL(9,Tabelle410[Externe Reisekosten])</f>
        <v>100</v>
      </c>
      <c r="Z58" s="387">
        <f>SUBTOTAL(9,Tabelle410[Repräsentation/Bewirtung extern])</f>
        <v>150</v>
      </c>
      <c r="AA58" s="387">
        <f>SUBTOTAL(9,Tabelle410[Raum + Unterkunft extern])</f>
        <v>0</v>
      </c>
      <c r="AB58" s="387">
        <f>SUBTOTAL(9,Tabelle410[Verwaltungs- und Druckkosten])</f>
        <v>1016</v>
      </c>
      <c r="AC58" s="666">
        <f>SUBTOTAL(9,Tabelle410[Gesamt])</f>
        <v>-100</v>
      </c>
    </row>
    <row r="59" spans="1:32" ht="15" customHeight="1" x14ac:dyDescent="0.35">
      <c r="A59" s="11"/>
      <c r="R59" s="11"/>
    </row>
    <row r="60" spans="1:32" s="75" customFormat="1" ht="15.6" x14ac:dyDescent="0.3">
      <c r="A60" s="7"/>
      <c r="B60" s="7" t="s">
        <v>746</v>
      </c>
      <c r="D60" s="6" t="s">
        <v>739</v>
      </c>
      <c r="R60" s="7"/>
      <c r="S60" s="7" t="s">
        <v>746</v>
      </c>
      <c r="U60" s="6" t="s">
        <v>739</v>
      </c>
    </row>
    <row r="61" spans="1:32" ht="15.75" customHeight="1" thickBot="1" x14ac:dyDescent="0.4">
      <c r="A61" s="11"/>
      <c r="R61" s="11"/>
    </row>
    <row r="62" spans="1:32" ht="15" thickBot="1" x14ac:dyDescent="0.35">
      <c r="A62" s="100"/>
      <c r="B62" s="142" t="s">
        <v>656</v>
      </c>
      <c r="C62" s="91" t="s">
        <v>84</v>
      </c>
      <c r="D62" s="92" t="s">
        <v>91</v>
      </c>
      <c r="E62" s="93" t="s">
        <v>138</v>
      </c>
      <c r="F62" s="93" t="s">
        <v>244</v>
      </c>
      <c r="G62" s="93" t="s">
        <v>269</v>
      </c>
      <c r="H62" s="93" t="s">
        <v>294</v>
      </c>
      <c r="I62" s="93" t="s">
        <v>366</v>
      </c>
      <c r="J62" s="93" t="s">
        <v>378</v>
      </c>
      <c r="K62" s="93" t="s">
        <v>388</v>
      </c>
      <c r="L62" s="93" t="s">
        <v>400</v>
      </c>
      <c r="M62" s="93" t="s">
        <v>424</v>
      </c>
      <c r="N62" s="657" t="s">
        <v>348</v>
      </c>
      <c r="O62" s="94"/>
      <c r="R62" s="100"/>
      <c r="S62" s="142" t="s">
        <v>656</v>
      </c>
      <c r="T62" s="91" t="s">
        <v>84</v>
      </c>
      <c r="U62" s="92" t="s">
        <v>91</v>
      </c>
      <c r="V62" s="93" t="s">
        <v>138</v>
      </c>
      <c r="W62" s="93" t="s">
        <v>244</v>
      </c>
      <c r="X62" s="93" t="s">
        <v>269</v>
      </c>
      <c r="Y62" s="93" t="s">
        <v>294</v>
      </c>
      <c r="Z62" s="93" t="s">
        <v>366</v>
      </c>
      <c r="AA62" s="93" t="s">
        <v>378</v>
      </c>
      <c r="AB62" s="93" t="s">
        <v>388</v>
      </c>
      <c r="AC62" s="93" t="s">
        <v>400</v>
      </c>
      <c r="AD62" s="93" t="s">
        <v>424</v>
      </c>
      <c r="AE62" s="657" t="s">
        <v>348</v>
      </c>
      <c r="AF62" s="94"/>
    </row>
    <row r="63" spans="1:32" ht="55.8" thickBot="1" x14ac:dyDescent="0.35">
      <c r="A63" s="101" t="s">
        <v>740</v>
      </c>
      <c r="B63" s="99" t="s">
        <v>747</v>
      </c>
      <c r="C63" s="102" t="s">
        <v>651</v>
      </c>
      <c r="D63" s="99" t="s">
        <v>743</v>
      </c>
      <c r="E63" s="99" t="s">
        <v>748</v>
      </c>
      <c r="F63" s="99" t="s">
        <v>644</v>
      </c>
      <c r="G63" s="99" t="s">
        <v>749</v>
      </c>
      <c r="H63" s="99" t="s">
        <v>750</v>
      </c>
      <c r="I63" s="99" t="s">
        <v>744</v>
      </c>
      <c r="J63" s="99" t="s">
        <v>745</v>
      </c>
      <c r="K63" s="99" t="s">
        <v>329</v>
      </c>
      <c r="L63" s="99" t="s">
        <v>310</v>
      </c>
      <c r="M63" s="99" t="s">
        <v>675</v>
      </c>
      <c r="N63" s="99" t="s">
        <v>318</v>
      </c>
      <c r="O63" s="103" t="s">
        <v>607</v>
      </c>
      <c r="R63" s="101" t="s">
        <v>740</v>
      </c>
      <c r="S63" s="99" t="s">
        <v>747</v>
      </c>
      <c r="T63" s="102" t="s">
        <v>651</v>
      </c>
      <c r="U63" s="99" t="s">
        <v>743</v>
      </c>
      <c r="V63" s="99" t="s">
        <v>748</v>
      </c>
      <c r="W63" s="99" t="s">
        <v>644</v>
      </c>
      <c r="X63" s="99" t="s">
        <v>749</v>
      </c>
      <c r="Y63" s="99" t="s">
        <v>750</v>
      </c>
      <c r="Z63" s="99" t="s">
        <v>744</v>
      </c>
      <c r="AA63" s="99" t="s">
        <v>745</v>
      </c>
      <c r="AB63" s="99" t="s">
        <v>329</v>
      </c>
      <c r="AC63" s="99" t="s">
        <v>310</v>
      </c>
      <c r="AD63" s="99" t="s">
        <v>675</v>
      </c>
      <c r="AE63" s="99" t="s">
        <v>318</v>
      </c>
      <c r="AF63" s="103" t="s">
        <v>607</v>
      </c>
    </row>
    <row r="64" spans="1:32" s="81" customFormat="1" outlineLevel="1" x14ac:dyDescent="0.3">
      <c r="A64" s="259">
        <f>ROW(A1)</f>
        <v>1</v>
      </c>
      <c r="B64" s="275" t="s">
        <v>751</v>
      </c>
      <c r="C64" s="381"/>
      <c r="D64" s="382"/>
      <c r="E64" s="382"/>
      <c r="F64" s="382"/>
      <c r="G64" s="382"/>
      <c r="H64" s="382"/>
      <c r="I64" s="382"/>
      <c r="J64" s="382"/>
      <c r="K64" s="382"/>
      <c r="L64" s="382">
        <v>160</v>
      </c>
      <c r="M64" s="382"/>
      <c r="N64" s="382"/>
      <c r="O64" s="267">
        <f t="shared" ref="O64:O75" si="6">SUM(C64:D64)-SUM(F64:N64)</f>
        <v>-160</v>
      </c>
      <c r="R64" s="259">
        <f t="shared" ref="R64:R75" si="7">ROW(A1)</f>
        <v>1</v>
      </c>
      <c r="S64" s="275" t="s">
        <v>751</v>
      </c>
      <c r="T64" s="381"/>
      <c r="U64" s="382"/>
      <c r="V64" s="382"/>
      <c r="W64" s="382"/>
      <c r="X64" s="382"/>
      <c r="Y64" s="382"/>
      <c r="Z64" s="382"/>
      <c r="AA64" s="382"/>
      <c r="AB64" s="382"/>
      <c r="AC64" s="382">
        <v>160</v>
      </c>
      <c r="AD64" s="382"/>
      <c r="AE64" s="382"/>
      <c r="AF64" s="267">
        <f t="shared" ref="AF64:AF75" si="8">SUM(T64:U64)-SUM(W64:AE64)</f>
        <v>-160</v>
      </c>
    </row>
    <row r="65" spans="1:32" s="81" customFormat="1" outlineLevel="1" x14ac:dyDescent="0.3">
      <c r="A65" s="259">
        <f t="shared" ref="A65:A75" si="9">ROW(A2)</f>
        <v>2</v>
      </c>
      <c r="B65" s="260" t="s">
        <v>1253</v>
      </c>
      <c r="C65" s="261"/>
      <c r="D65" s="262"/>
      <c r="E65" s="262"/>
      <c r="F65" s="262"/>
      <c r="G65" s="262"/>
      <c r="H65" s="262"/>
      <c r="I65" s="262"/>
      <c r="J65" s="262"/>
      <c r="K65" s="262"/>
      <c r="L65" s="262"/>
      <c r="M65" s="262"/>
      <c r="N65" s="262"/>
      <c r="O65" s="267">
        <f t="shared" si="6"/>
        <v>0</v>
      </c>
      <c r="R65" s="259">
        <f t="shared" si="7"/>
        <v>2</v>
      </c>
      <c r="S65" s="260" t="s">
        <v>1253</v>
      </c>
      <c r="T65" s="261"/>
      <c r="U65" s="262"/>
      <c r="V65" s="262"/>
      <c r="W65" s="262"/>
      <c r="X65" s="262"/>
      <c r="Y65" s="262"/>
      <c r="Z65" s="262"/>
      <c r="AA65" s="262"/>
      <c r="AB65" s="262"/>
      <c r="AC65" s="262">
        <v>900</v>
      </c>
      <c r="AD65" s="262"/>
      <c r="AE65" s="262"/>
      <c r="AF65" s="267">
        <f t="shared" si="8"/>
        <v>-900</v>
      </c>
    </row>
    <row r="66" spans="1:32" s="81" customFormat="1" ht="30" customHeight="1" outlineLevel="1" x14ac:dyDescent="0.3">
      <c r="A66" s="259">
        <f t="shared" si="9"/>
        <v>3</v>
      </c>
      <c r="B66" s="260" t="s">
        <v>1376</v>
      </c>
      <c r="C66" s="261"/>
      <c r="D66" s="262"/>
      <c r="E66" s="262"/>
      <c r="F66" s="262"/>
      <c r="G66" s="262"/>
      <c r="H66" s="262"/>
      <c r="I66" s="262"/>
      <c r="J66" s="262"/>
      <c r="K66" s="262"/>
      <c r="L66" s="262"/>
      <c r="M66" s="262"/>
      <c r="N66" s="262"/>
      <c r="O66" s="267">
        <f t="shared" si="6"/>
        <v>0</v>
      </c>
      <c r="R66" s="259">
        <f t="shared" si="7"/>
        <v>3</v>
      </c>
      <c r="S66" s="260" t="s">
        <v>1257</v>
      </c>
      <c r="T66" s="261">
        <v>1000</v>
      </c>
      <c r="U66" s="262"/>
      <c r="V66" s="262">
        <v>125</v>
      </c>
      <c r="W66" s="262"/>
      <c r="X66" s="262"/>
      <c r="Y66" s="262"/>
      <c r="Z66" s="262">
        <v>20</v>
      </c>
      <c r="AA66" s="262"/>
      <c r="AB66" s="262"/>
      <c r="AC66" s="262">
        <v>150</v>
      </c>
      <c r="AD66" s="262"/>
      <c r="AE66" s="262">
        <v>1200</v>
      </c>
      <c r="AF66" s="267">
        <f t="shared" si="8"/>
        <v>-370</v>
      </c>
    </row>
    <row r="67" spans="1:32" s="81" customFormat="1" ht="26.25" customHeight="1" outlineLevel="1" x14ac:dyDescent="0.3">
      <c r="A67" s="259">
        <f t="shared" si="9"/>
        <v>4</v>
      </c>
      <c r="B67" s="260" t="s">
        <v>1377</v>
      </c>
      <c r="C67" s="261"/>
      <c r="D67" s="262"/>
      <c r="E67" s="262"/>
      <c r="F67" s="262"/>
      <c r="G67" s="262"/>
      <c r="H67" s="262"/>
      <c r="I67" s="262"/>
      <c r="J67" s="262"/>
      <c r="K67" s="262"/>
      <c r="L67" s="262"/>
      <c r="M67" s="262"/>
      <c r="N67" s="262"/>
      <c r="O67" s="267">
        <f t="shared" si="6"/>
        <v>0</v>
      </c>
      <c r="R67" s="259">
        <f t="shared" si="7"/>
        <v>4</v>
      </c>
      <c r="S67" s="260" t="s">
        <v>1258</v>
      </c>
      <c r="T67" s="261">
        <v>500</v>
      </c>
      <c r="U67" s="262"/>
      <c r="V67" s="262">
        <v>125</v>
      </c>
      <c r="W67" s="262"/>
      <c r="X67" s="262"/>
      <c r="Y67" s="262"/>
      <c r="Z67" s="262">
        <v>20</v>
      </c>
      <c r="AA67" s="262"/>
      <c r="AB67" s="262"/>
      <c r="AC67" s="262">
        <v>150</v>
      </c>
      <c r="AD67" s="262"/>
      <c r="AE67" s="262">
        <v>440</v>
      </c>
      <c r="AF67" s="267">
        <f t="shared" si="8"/>
        <v>-110</v>
      </c>
    </row>
    <row r="68" spans="1:32" s="81" customFormat="1" ht="30.75" customHeight="1" outlineLevel="1" x14ac:dyDescent="0.3">
      <c r="A68" s="259">
        <f t="shared" si="9"/>
        <v>5</v>
      </c>
      <c r="B68" s="260" t="s">
        <v>1378</v>
      </c>
      <c r="C68" s="261">
        <v>500</v>
      </c>
      <c r="D68" s="262"/>
      <c r="E68" s="262"/>
      <c r="F68" s="262"/>
      <c r="G68" s="262">
        <v>4500</v>
      </c>
      <c r="H68" s="262"/>
      <c r="I68" s="262"/>
      <c r="J68" s="262"/>
      <c r="K68" s="262"/>
      <c r="L68" s="262">
        <v>500</v>
      </c>
      <c r="M68" s="262"/>
      <c r="N68" s="262"/>
      <c r="O68" s="267">
        <f t="shared" si="6"/>
        <v>-4500</v>
      </c>
      <c r="R68" s="259">
        <f t="shared" si="7"/>
        <v>5</v>
      </c>
      <c r="S68" s="260" t="s">
        <v>1265</v>
      </c>
      <c r="T68" s="261"/>
      <c r="U68" s="262"/>
      <c r="V68" s="262">
        <v>0</v>
      </c>
      <c r="W68" s="262">
        <v>250</v>
      </c>
      <c r="X68" s="262">
        <v>200</v>
      </c>
      <c r="Y68" s="262">
        <v>100</v>
      </c>
      <c r="Z68" s="262">
        <v>50</v>
      </c>
      <c r="AA68" s="262">
        <v>80</v>
      </c>
      <c r="AB68" s="262">
        <v>15</v>
      </c>
      <c r="AC68" s="262">
        <v>20</v>
      </c>
      <c r="AD68" s="262"/>
      <c r="AE68" s="262">
        <v>500</v>
      </c>
      <c r="AF68" s="267">
        <f t="shared" si="8"/>
        <v>-1215</v>
      </c>
    </row>
    <row r="69" spans="1:32" s="81" customFormat="1" outlineLevel="1" x14ac:dyDescent="0.3">
      <c r="A69" s="259">
        <f t="shared" si="9"/>
        <v>6</v>
      </c>
      <c r="B69" s="260"/>
      <c r="C69" s="261"/>
      <c r="D69" s="262"/>
      <c r="E69" s="262"/>
      <c r="F69" s="262"/>
      <c r="G69" s="262"/>
      <c r="H69" s="262"/>
      <c r="I69" s="262"/>
      <c r="J69" s="262"/>
      <c r="K69" s="262"/>
      <c r="L69" s="262"/>
      <c r="M69" s="262"/>
      <c r="N69" s="262"/>
      <c r="O69" s="267">
        <f t="shared" si="6"/>
        <v>0</v>
      </c>
      <c r="R69" s="259">
        <f t="shared" si="7"/>
        <v>6</v>
      </c>
      <c r="S69" s="260"/>
      <c r="T69" s="261"/>
      <c r="U69" s="262"/>
      <c r="V69" s="262"/>
      <c r="W69" s="262"/>
      <c r="X69" s="262"/>
      <c r="Y69" s="262"/>
      <c r="Z69" s="262"/>
      <c r="AA69" s="262"/>
      <c r="AB69" s="262"/>
      <c r="AC69" s="262"/>
      <c r="AD69" s="262"/>
      <c r="AE69" s="262"/>
      <c r="AF69" s="267">
        <f t="shared" si="8"/>
        <v>0</v>
      </c>
    </row>
    <row r="70" spans="1:32" s="81" customFormat="1" outlineLevel="1" x14ac:dyDescent="0.3">
      <c r="A70" s="259">
        <f t="shared" si="9"/>
        <v>7</v>
      </c>
      <c r="B70" s="260"/>
      <c r="C70" s="261"/>
      <c r="D70" s="262"/>
      <c r="E70" s="262"/>
      <c r="F70" s="262"/>
      <c r="G70" s="262"/>
      <c r="H70" s="262"/>
      <c r="I70" s="262"/>
      <c r="J70" s="262"/>
      <c r="K70" s="262"/>
      <c r="L70" s="262"/>
      <c r="M70" s="262"/>
      <c r="N70" s="262"/>
      <c r="O70" s="267">
        <f t="shared" si="6"/>
        <v>0</v>
      </c>
      <c r="R70" s="259">
        <f t="shared" si="7"/>
        <v>7</v>
      </c>
      <c r="S70" s="260"/>
      <c r="T70" s="261"/>
      <c r="U70" s="262"/>
      <c r="V70" s="262"/>
      <c r="W70" s="262"/>
      <c r="X70" s="262"/>
      <c r="Y70" s="262"/>
      <c r="Z70" s="262"/>
      <c r="AA70" s="262"/>
      <c r="AB70" s="262"/>
      <c r="AC70" s="262"/>
      <c r="AD70" s="262"/>
      <c r="AE70" s="262"/>
      <c r="AF70" s="267">
        <f t="shared" si="8"/>
        <v>0</v>
      </c>
    </row>
    <row r="71" spans="1:32" s="81" customFormat="1" outlineLevel="1" x14ac:dyDescent="0.3">
      <c r="A71" s="259">
        <f t="shared" si="9"/>
        <v>8</v>
      </c>
      <c r="B71" s="260"/>
      <c r="C71" s="261"/>
      <c r="D71" s="262"/>
      <c r="E71" s="262"/>
      <c r="F71" s="262"/>
      <c r="G71" s="262"/>
      <c r="H71" s="262"/>
      <c r="I71" s="262"/>
      <c r="J71" s="262"/>
      <c r="K71" s="262"/>
      <c r="L71" s="262"/>
      <c r="M71" s="262"/>
      <c r="N71" s="262"/>
      <c r="O71" s="267">
        <f t="shared" si="6"/>
        <v>0</v>
      </c>
      <c r="R71" s="259">
        <f t="shared" si="7"/>
        <v>8</v>
      </c>
      <c r="S71" s="260"/>
      <c r="T71" s="261"/>
      <c r="U71" s="262"/>
      <c r="V71" s="262"/>
      <c r="W71" s="262"/>
      <c r="X71" s="262"/>
      <c r="Y71" s="262"/>
      <c r="Z71" s="262"/>
      <c r="AA71" s="262"/>
      <c r="AB71" s="262"/>
      <c r="AC71" s="262"/>
      <c r="AD71" s="262"/>
      <c r="AE71" s="262"/>
      <c r="AF71" s="267">
        <f t="shared" si="8"/>
        <v>0</v>
      </c>
    </row>
    <row r="72" spans="1:32" s="81" customFormat="1" outlineLevel="1" x14ac:dyDescent="0.3">
      <c r="A72" s="259">
        <f t="shared" si="9"/>
        <v>9</v>
      </c>
      <c r="B72" s="260"/>
      <c r="C72" s="261"/>
      <c r="D72" s="262"/>
      <c r="E72" s="262"/>
      <c r="F72" s="262"/>
      <c r="G72" s="262"/>
      <c r="H72" s="262"/>
      <c r="I72" s="262"/>
      <c r="J72" s="262"/>
      <c r="K72" s="262"/>
      <c r="L72" s="262"/>
      <c r="M72" s="262"/>
      <c r="N72" s="262"/>
      <c r="O72" s="267">
        <f t="shared" si="6"/>
        <v>0</v>
      </c>
      <c r="R72" s="259">
        <f t="shared" si="7"/>
        <v>9</v>
      </c>
      <c r="S72" s="260"/>
      <c r="T72" s="261"/>
      <c r="U72" s="262"/>
      <c r="V72" s="262"/>
      <c r="W72" s="262"/>
      <c r="X72" s="262"/>
      <c r="Y72" s="262"/>
      <c r="Z72" s="262"/>
      <c r="AA72" s="262"/>
      <c r="AB72" s="262"/>
      <c r="AC72" s="262"/>
      <c r="AD72" s="262"/>
      <c r="AE72" s="262"/>
      <c r="AF72" s="267">
        <f t="shared" si="8"/>
        <v>0</v>
      </c>
    </row>
    <row r="73" spans="1:32" s="81" customFormat="1" outlineLevel="1" x14ac:dyDescent="0.3">
      <c r="A73" s="259">
        <f t="shared" si="9"/>
        <v>10</v>
      </c>
      <c r="B73" s="260"/>
      <c r="C73" s="261"/>
      <c r="D73" s="262"/>
      <c r="E73" s="262"/>
      <c r="F73" s="262"/>
      <c r="G73" s="262"/>
      <c r="H73" s="262"/>
      <c r="I73" s="262"/>
      <c r="J73" s="262"/>
      <c r="K73" s="262"/>
      <c r="L73" s="262"/>
      <c r="M73" s="262"/>
      <c r="N73" s="262"/>
      <c r="O73" s="267">
        <f t="shared" si="6"/>
        <v>0</v>
      </c>
      <c r="R73" s="259">
        <f t="shared" si="7"/>
        <v>10</v>
      </c>
      <c r="S73" s="260"/>
      <c r="T73" s="261"/>
      <c r="U73" s="262"/>
      <c r="V73" s="262"/>
      <c r="W73" s="262"/>
      <c r="X73" s="262"/>
      <c r="Y73" s="262"/>
      <c r="Z73" s="262"/>
      <c r="AA73" s="262"/>
      <c r="AB73" s="262"/>
      <c r="AC73" s="262"/>
      <c r="AD73" s="262"/>
      <c r="AE73" s="262"/>
      <c r="AF73" s="267">
        <f t="shared" si="8"/>
        <v>0</v>
      </c>
    </row>
    <row r="74" spans="1:32" s="81" customFormat="1" outlineLevel="1" x14ac:dyDescent="0.3">
      <c r="A74" s="259">
        <f t="shared" si="9"/>
        <v>11</v>
      </c>
      <c r="B74" s="260"/>
      <c r="C74" s="261"/>
      <c r="D74" s="262"/>
      <c r="E74" s="262"/>
      <c r="F74" s="262"/>
      <c r="G74" s="262"/>
      <c r="H74" s="262"/>
      <c r="I74" s="262"/>
      <c r="J74" s="262"/>
      <c r="K74" s="262"/>
      <c r="L74" s="262"/>
      <c r="M74" s="262"/>
      <c r="N74" s="262"/>
      <c r="O74" s="267">
        <f t="shared" si="6"/>
        <v>0</v>
      </c>
      <c r="R74" s="259">
        <f t="shared" si="7"/>
        <v>11</v>
      </c>
      <c r="S74" s="260"/>
      <c r="T74" s="261"/>
      <c r="U74" s="262"/>
      <c r="V74" s="262"/>
      <c r="W74" s="262"/>
      <c r="X74" s="262"/>
      <c r="Y74" s="262"/>
      <c r="Z74" s="262"/>
      <c r="AA74" s="262"/>
      <c r="AB74" s="262"/>
      <c r="AC74" s="262"/>
      <c r="AD74" s="262"/>
      <c r="AE74" s="262"/>
      <c r="AF74" s="267">
        <f t="shared" si="8"/>
        <v>0</v>
      </c>
    </row>
    <row r="75" spans="1:32" s="81" customFormat="1" ht="15" outlineLevel="1" thickBot="1" x14ac:dyDescent="0.35">
      <c r="A75" s="259">
        <f t="shared" si="9"/>
        <v>12</v>
      </c>
      <c r="B75" s="264" t="s">
        <v>606</v>
      </c>
      <c r="C75" s="270">
        <v>0</v>
      </c>
      <c r="D75" s="271">
        <v>0</v>
      </c>
      <c r="E75" s="271">
        <v>500</v>
      </c>
      <c r="F75" s="271">
        <v>500</v>
      </c>
      <c r="G75" s="271">
        <v>300</v>
      </c>
      <c r="H75" s="271">
        <v>200</v>
      </c>
      <c r="I75" s="271">
        <v>340</v>
      </c>
      <c r="J75" s="271">
        <v>100</v>
      </c>
      <c r="K75" s="271">
        <v>500</v>
      </c>
      <c r="L75" s="271">
        <v>740</v>
      </c>
      <c r="M75" s="271">
        <v>200</v>
      </c>
      <c r="N75" s="266">
        <v>2640</v>
      </c>
      <c r="O75" s="267">
        <f t="shared" si="6"/>
        <v>-5520</v>
      </c>
      <c r="R75" s="259">
        <f t="shared" si="7"/>
        <v>12</v>
      </c>
      <c r="S75" s="264" t="s">
        <v>606</v>
      </c>
      <c r="T75" s="270">
        <v>0</v>
      </c>
      <c r="U75" s="271">
        <v>0</v>
      </c>
      <c r="V75" s="271">
        <v>500</v>
      </c>
      <c r="W75" s="271">
        <v>500</v>
      </c>
      <c r="X75" s="271">
        <v>300</v>
      </c>
      <c r="Y75" s="271">
        <v>200</v>
      </c>
      <c r="Z75" s="271">
        <v>100</v>
      </c>
      <c r="AA75" s="271">
        <v>100</v>
      </c>
      <c r="AB75" s="271">
        <v>500</v>
      </c>
      <c r="AC75" s="271">
        <v>500</v>
      </c>
      <c r="AD75" s="271">
        <v>200</v>
      </c>
      <c r="AE75" s="266">
        <v>500</v>
      </c>
      <c r="AF75" s="267">
        <f t="shared" si="8"/>
        <v>-2900</v>
      </c>
    </row>
    <row r="76" spans="1:32" ht="23.25" customHeight="1" thickBot="1" x14ac:dyDescent="0.35">
      <c r="A76" s="106"/>
      <c r="B76" s="107" t="s">
        <v>697</v>
      </c>
      <c r="C76" s="272">
        <f>SUBTOTAL(9,Tabelle51349[Teilnahmebeiträge Veranstaltungen])</f>
        <v>500</v>
      </c>
      <c r="D76" s="386">
        <f>SUBTOTAL(9,Tabelle51349[Sonstige Einnahmen])</f>
        <v>0</v>
      </c>
      <c r="E76" s="387">
        <f>SUBTOTAL(9,Tabelle51349[Aufwandsentschädigungen])</f>
        <v>500</v>
      </c>
      <c r="F76" s="387">
        <f>SUBTOTAL(9,Tabelle51349[Interne Reisekosten])</f>
        <v>500</v>
      </c>
      <c r="G76" s="387">
        <f>SUBTOTAL(9,Tabelle51349[Raum + Unterkunft intern])</f>
        <v>4800</v>
      </c>
      <c r="H76" s="387">
        <f>SUBTOTAL(9,Tabelle51349[Repräsentation/Bewirtung intern])</f>
        <v>200</v>
      </c>
      <c r="I76" s="387">
        <f>SUBTOTAL(9,Tabelle51349[Repräsentation/Bewirtung extern])</f>
        <v>340</v>
      </c>
      <c r="J76" s="387">
        <f>SUBTOTAL(9,Tabelle51349[Raum + Unterkunft extern])</f>
        <v>100</v>
      </c>
      <c r="K76" s="387">
        <f>SUBTOTAL(9,Tabelle51349[Druckkosten])</f>
        <v>500</v>
      </c>
      <c r="L76" s="387">
        <f>SUBTOTAL(9,Tabelle51349[Sonstige Kosten])</f>
        <v>1400</v>
      </c>
      <c r="M76" s="387">
        <f>SUBTOTAL(9,Tabelle51349[Rechtsangelegenheiten])</f>
        <v>200</v>
      </c>
      <c r="N76" s="387">
        <f>SUBTOTAL(109,Tabelle51349[Andere Honorare])</f>
        <v>2640</v>
      </c>
      <c r="O76" s="673">
        <f>SUBTOTAL(9,Tabelle51349[Gesamt])</f>
        <v>-10180</v>
      </c>
      <c r="R76" s="106"/>
      <c r="S76" s="107" t="s">
        <v>697</v>
      </c>
      <c r="T76" s="272">
        <f>SUBTOTAL(9,Tabelle513[Teilnahmebeiträge Veranstaltungen])</f>
        <v>1500</v>
      </c>
      <c r="U76" s="386">
        <f>SUBTOTAL(9,Tabelle513[Sonstige Einnahmen])</f>
        <v>0</v>
      </c>
      <c r="V76" s="387">
        <f>SUBTOTAL(9,Tabelle513[Aufwandsentschädigungen])</f>
        <v>750</v>
      </c>
      <c r="W76" s="387">
        <f>SUBTOTAL(9,Tabelle513[Interne Reisekosten])</f>
        <v>750</v>
      </c>
      <c r="X76" s="387">
        <f>SUBTOTAL(9,Tabelle513[Raum + Unterkunft intern])</f>
        <v>500</v>
      </c>
      <c r="Y76" s="387">
        <f>SUBTOTAL(9,Tabelle513[Repräsentation/Bewirtung intern])</f>
        <v>300</v>
      </c>
      <c r="Z76" s="387">
        <f>SUBTOTAL(9,Tabelle513[Repräsentation/Bewirtung extern])</f>
        <v>190</v>
      </c>
      <c r="AA76" s="387">
        <f>SUBTOTAL(9,Tabelle513[Raum + Unterkunft extern])</f>
        <v>180</v>
      </c>
      <c r="AB76" s="387">
        <f>SUBTOTAL(9,Tabelle513[Druckkosten])</f>
        <v>515</v>
      </c>
      <c r="AC76" s="387">
        <f>SUBTOTAL(9,Tabelle513[Sonstige Kosten])</f>
        <v>1880</v>
      </c>
      <c r="AD76" s="387">
        <f>SUBTOTAL(9,Tabelle513[Rechtsangelegenheiten])</f>
        <v>200</v>
      </c>
      <c r="AE76" s="387">
        <f>SUBTOTAL(109,Tabelle513[Andere Honorare])</f>
        <v>2640</v>
      </c>
      <c r="AF76" s="673">
        <f>SUBTOTAL(9,Tabelle513[Gesamt])</f>
        <v>-5655</v>
      </c>
    </row>
    <row r="77" spans="1:32" ht="18" x14ac:dyDescent="0.35">
      <c r="A77" s="11"/>
      <c r="R77" s="11"/>
    </row>
    <row r="78" spans="1:32" ht="15.6" x14ac:dyDescent="0.3">
      <c r="A78" s="7"/>
      <c r="B78" s="7" t="s">
        <v>755</v>
      </c>
      <c r="D78" s="6" t="s">
        <v>739</v>
      </c>
      <c r="R78" s="7"/>
      <c r="S78" s="7" t="s">
        <v>755</v>
      </c>
      <c r="U78" s="6" t="s">
        <v>739</v>
      </c>
    </row>
    <row r="79" spans="1:32" ht="18.600000000000001" thickBot="1" x14ac:dyDescent="0.4">
      <c r="A79" s="11"/>
      <c r="R79" s="11"/>
    </row>
    <row r="80" spans="1:32" ht="15.6" thickTop="1" thickBot="1" x14ac:dyDescent="0.35">
      <c r="A80" s="108"/>
      <c r="B80" s="140"/>
      <c r="C80" s="141"/>
      <c r="D80" s="144" t="s">
        <v>656</v>
      </c>
      <c r="E80" s="109" t="s">
        <v>136</v>
      </c>
      <c r="F80" s="110" t="s">
        <v>242</v>
      </c>
      <c r="G80" s="110" t="s">
        <v>266</v>
      </c>
      <c r="H80" s="110" t="s">
        <v>292</v>
      </c>
      <c r="I80" s="111"/>
      <c r="R80" s="108"/>
      <c r="S80" s="140"/>
      <c r="T80" s="141"/>
      <c r="U80" s="144" t="s">
        <v>656</v>
      </c>
      <c r="V80" s="109" t="s">
        <v>136</v>
      </c>
      <c r="W80" s="110" t="s">
        <v>242</v>
      </c>
      <c r="X80" s="110" t="s">
        <v>266</v>
      </c>
      <c r="Y80" s="110" t="s">
        <v>292</v>
      </c>
      <c r="Z80" s="111"/>
    </row>
    <row r="81" spans="1:26" ht="42" thickBot="1" x14ac:dyDescent="0.35">
      <c r="A81" s="112" t="s">
        <v>756</v>
      </c>
      <c r="B81" s="112" t="s">
        <v>757</v>
      </c>
      <c r="C81" s="143" t="s">
        <v>758</v>
      </c>
      <c r="D81" s="112" t="s">
        <v>533</v>
      </c>
      <c r="E81" s="375" t="s">
        <v>748</v>
      </c>
      <c r="F81" s="376" t="s">
        <v>644</v>
      </c>
      <c r="G81" s="376" t="s">
        <v>749</v>
      </c>
      <c r="H81" s="376" t="s">
        <v>750</v>
      </c>
      <c r="I81" s="377" t="s">
        <v>607</v>
      </c>
      <c r="R81" s="112" t="s">
        <v>756</v>
      </c>
      <c r="S81" s="112" t="s">
        <v>757</v>
      </c>
      <c r="T81" s="143" t="s">
        <v>758</v>
      </c>
      <c r="U81" s="112" t="s">
        <v>533</v>
      </c>
      <c r="V81" s="375" t="s">
        <v>748</v>
      </c>
      <c r="W81" s="376" t="s">
        <v>644</v>
      </c>
      <c r="X81" s="376" t="s">
        <v>749</v>
      </c>
      <c r="Y81" s="376" t="s">
        <v>750</v>
      </c>
      <c r="Z81" s="377" t="s">
        <v>607</v>
      </c>
    </row>
    <row r="82" spans="1:26" s="81" customFormat="1" ht="131.25" customHeight="1" outlineLevel="1" x14ac:dyDescent="0.3">
      <c r="A82" s="263" t="e">
        <f>ROW(#REF!)</f>
        <v>#REF!</v>
      </c>
      <c r="B82" s="296" t="s">
        <v>1259</v>
      </c>
      <c r="C82" s="98"/>
      <c r="D82" s="98"/>
      <c r="E82" s="383"/>
      <c r="F82" s="288"/>
      <c r="G82" s="288"/>
      <c r="H82" s="288"/>
      <c r="I82" s="283"/>
      <c r="R82" s="263">
        <f t="shared" ref="R82:R92" si="10">ROW(A1)</f>
        <v>1</v>
      </c>
      <c r="S82" s="296" t="s">
        <v>1259</v>
      </c>
      <c r="T82" s="98"/>
      <c r="U82" s="98"/>
      <c r="V82" s="383"/>
      <c r="W82" s="288"/>
      <c r="X82" s="288"/>
      <c r="Y82" s="288"/>
      <c r="Z82" s="283">
        <f>SUM(V82:Y82)</f>
        <v>0</v>
      </c>
    </row>
    <row r="83" spans="1:26" s="81" customFormat="1" ht="27.6" outlineLevel="1" x14ac:dyDescent="0.3">
      <c r="A83" s="263" t="e">
        <f>ROW(#REF!)</f>
        <v>#REF!</v>
      </c>
      <c r="B83" s="660"/>
      <c r="C83" s="98"/>
      <c r="D83" s="98"/>
      <c r="E83" s="124"/>
      <c r="F83" s="125"/>
      <c r="G83" s="125"/>
      <c r="H83" s="125"/>
      <c r="I83" s="267"/>
      <c r="R83" s="263">
        <f t="shared" si="10"/>
        <v>2</v>
      </c>
      <c r="S83" s="660" t="s">
        <v>1260</v>
      </c>
      <c r="T83" s="98"/>
      <c r="U83" s="98" t="s">
        <v>770</v>
      </c>
      <c r="V83" s="124">
        <v>800</v>
      </c>
      <c r="W83" s="125">
        <v>0</v>
      </c>
      <c r="X83" s="125">
        <v>0</v>
      </c>
      <c r="Y83" s="125">
        <v>0</v>
      </c>
      <c r="Z83" s="267">
        <f t="shared" ref="Z83:Z90" si="11">SUM(V83:Y83)</f>
        <v>800</v>
      </c>
    </row>
    <row r="84" spans="1:26" s="81" customFormat="1" ht="27.6" outlineLevel="1" x14ac:dyDescent="0.3">
      <c r="A84" s="263" t="e">
        <f>ROW(#REF!)</f>
        <v>#REF!</v>
      </c>
      <c r="B84" s="660"/>
      <c r="C84" s="98"/>
      <c r="D84" s="98"/>
      <c r="E84" s="124"/>
      <c r="F84" s="125"/>
      <c r="G84" s="125"/>
      <c r="H84" s="125"/>
      <c r="I84" s="267"/>
      <c r="R84" s="263">
        <f t="shared" si="10"/>
        <v>3</v>
      </c>
      <c r="S84" s="660" t="s">
        <v>1261</v>
      </c>
      <c r="T84" s="98" t="s">
        <v>760</v>
      </c>
      <c r="U84" s="98" t="s">
        <v>764</v>
      </c>
      <c r="V84" s="124">
        <v>1800</v>
      </c>
      <c r="W84" s="125">
        <v>1000</v>
      </c>
      <c r="X84" s="125">
        <v>800</v>
      </c>
      <c r="Y84" s="125">
        <v>100</v>
      </c>
      <c r="Z84" s="267">
        <f t="shared" si="11"/>
        <v>3700</v>
      </c>
    </row>
    <row r="85" spans="1:26" s="81" customFormat="1" ht="124.2" outlineLevel="1" x14ac:dyDescent="0.3">
      <c r="A85" s="263" t="e">
        <f>ROW(#REF!)</f>
        <v>#REF!</v>
      </c>
      <c r="B85" s="660"/>
      <c r="C85" s="98"/>
      <c r="D85" s="98"/>
      <c r="E85" s="124"/>
      <c r="F85" s="125"/>
      <c r="G85" s="125"/>
      <c r="H85" s="125"/>
      <c r="I85" s="267"/>
      <c r="R85" s="263">
        <f t="shared" si="10"/>
        <v>4</v>
      </c>
      <c r="S85" s="660" t="s">
        <v>1262</v>
      </c>
      <c r="T85" s="98"/>
      <c r="U85" s="98" t="s">
        <v>770</v>
      </c>
      <c r="V85" s="124">
        <v>400</v>
      </c>
      <c r="W85" s="125">
        <v>0</v>
      </c>
      <c r="X85" s="125">
        <v>0</v>
      </c>
      <c r="Y85" s="125">
        <v>0</v>
      </c>
      <c r="Z85" s="267">
        <f t="shared" si="11"/>
        <v>400</v>
      </c>
    </row>
    <row r="86" spans="1:26" s="81" customFormat="1" ht="41.4" outlineLevel="1" x14ac:dyDescent="0.3">
      <c r="A86" s="263" t="e">
        <f>ROW(#REF!)</f>
        <v>#REF!</v>
      </c>
      <c r="B86" s="660"/>
      <c r="C86" s="98"/>
      <c r="D86" s="98"/>
      <c r="E86" s="124"/>
      <c r="F86" s="125"/>
      <c r="G86" s="125"/>
      <c r="H86" s="125"/>
      <c r="I86" s="267"/>
      <c r="R86" s="263">
        <f t="shared" si="10"/>
        <v>5</v>
      </c>
      <c r="S86" s="660" t="s">
        <v>771</v>
      </c>
      <c r="T86" s="98"/>
      <c r="U86" s="98" t="s">
        <v>764</v>
      </c>
      <c r="V86" s="124">
        <v>150</v>
      </c>
      <c r="W86" s="125">
        <v>300</v>
      </c>
      <c r="X86" s="125">
        <v>200</v>
      </c>
      <c r="Y86" s="125">
        <v>200</v>
      </c>
      <c r="Z86" s="267">
        <f t="shared" si="11"/>
        <v>850</v>
      </c>
    </row>
    <row r="87" spans="1:26" s="81" customFormat="1" ht="41.4" outlineLevel="1" x14ac:dyDescent="0.3">
      <c r="A87" s="263" t="e">
        <f>ROW(#REF!)</f>
        <v>#REF!</v>
      </c>
      <c r="B87" s="660"/>
      <c r="C87" s="98"/>
      <c r="D87" s="98"/>
      <c r="E87" s="124"/>
      <c r="F87" s="125"/>
      <c r="G87" s="125"/>
      <c r="H87" s="125"/>
      <c r="I87" s="267"/>
      <c r="R87" s="263">
        <f t="shared" si="10"/>
        <v>6</v>
      </c>
      <c r="S87" s="660" t="s">
        <v>772</v>
      </c>
      <c r="T87" s="98"/>
      <c r="U87" s="98" t="s">
        <v>764</v>
      </c>
      <c r="V87" s="124">
        <v>150</v>
      </c>
      <c r="W87" s="125">
        <v>300</v>
      </c>
      <c r="X87" s="125">
        <v>200</v>
      </c>
      <c r="Y87" s="125">
        <v>200</v>
      </c>
      <c r="Z87" s="267">
        <f t="shared" si="11"/>
        <v>850</v>
      </c>
    </row>
    <row r="88" spans="1:26" s="81" customFormat="1" ht="138" outlineLevel="1" x14ac:dyDescent="0.3">
      <c r="A88" s="263" t="e">
        <f>ROW(#REF!)</f>
        <v>#REF!</v>
      </c>
      <c r="B88" s="660"/>
      <c r="C88" s="98"/>
      <c r="D88" s="98"/>
      <c r="E88" s="124"/>
      <c r="F88" s="125"/>
      <c r="G88" s="125"/>
      <c r="H88" s="125"/>
      <c r="I88" s="267"/>
      <c r="R88" s="263">
        <f t="shared" si="10"/>
        <v>7</v>
      </c>
      <c r="S88" s="660" t="s">
        <v>1263</v>
      </c>
      <c r="T88" s="98" t="s">
        <v>760</v>
      </c>
      <c r="U88" s="98" t="s">
        <v>764</v>
      </c>
      <c r="V88" s="124">
        <v>320</v>
      </c>
      <c r="W88" s="125">
        <v>320</v>
      </c>
      <c r="X88" s="125">
        <v>250</v>
      </c>
      <c r="Y88" s="125">
        <v>50</v>
      </c>
      <c r="Z88" s="267">
        <f t="shared" si="11"/>
        <v>940</v>
      </c>
    </row>
    <row r="89" spans="1:26" s="81" customFormat="1" ht="165.6" outlineLevel="1" x14ac:dyDescent="0.3">
      <c r="A89" s="263" t="e">
        <f>ROW(#REF!)</f>
        <v>#REF!</v>
      </c>
      <c r="B89" s="660"/>
      <c r="C89" s="98"/>
      <c r="D89" s="98"/>
      <c r="E89" s="124"/>
      <c r="F89" s="125"/>
      <c r="G89" s="125"/>
      <c r="H89" s="125"/>
      <c r="I89" s="267"/>
      <c r="R89" s="263">
        <f t="shared" si="10"/>
        <v>8</v>
      </c>
      <c r="S89" s="660" t="s">
        <v>1264</v>
      </c>
      <c r="T89" s="98" t="s">
        <v>760</v>
      </c>
      <c r="U89" s="98" t="s">
        <v>764</v>
      </c>
      <c r="V89" s="124">
        <v>400</v>
      </c>
      <c r="W89" s="125">
        <v>400</v>
      </c>
      <c r="X89" s="125">
        <v>520</v>
      </c>
      <c r="Y89" s="125">
        <v>250</v>
      </c>
      <c r="Z89" s="267">
        <f t="shared" si="11"/>
        <v>1570</v>
      </c>
    </row>
    <row r="90" spans="1:26" s="81" customFormat="1" outlineLevel="1" x14ac:dyDescent="0.3">
      <c r="A90" s="263" t="e">
        <f>ROW(#REF!)</f>
        <v>#REF!</v>
      </c>
      <c r="B90" s="263"/>
      <c r="C90" s="263"/>
      <c r="D90" s="263"/>
      <c r="E90" s="261"/>
      <c r="F90" s="262"/>
      <c r="G90" s="262"/>
      <c r="H90" s="262"/>
      <c r="I90" s="267"/>
      <c r="R90" s="263">
        <f t="shared" si="10"/>
        <v>9</v>
      </c>
      <c r="S90" s="263"/>
      <c r="T90" s="263"/>
      <c r="U90" s="263"/>
      <c r="V90" s="261"/>
      <c r="W90" s="262"/>
      <c r="X90" s="262"/>
      <c r="Y90" s="262"/>
      <c r="Z90" s="267">
        <f t="shared" si="11"/>
        <v>0</v>
      </c>
    </row>
    <row r="91" spans="1:26" outlineLevel="1" x14ac:dyDescent="0.3">
      <c r="A91" s="98" t="e">
        <f>ROW(#REF!)</f>
        <v>#REF!</v>
      </c>
      <c r="B91" s="113" t="s">
        <v>765</v>
      </c>
      <c r="C91" s="113"/>
      <c r="D91" s="113"/>
      <c r="E91" s="128">
        <f>Tabelle51349[[#Totals],[Aufwandsentschädigungen]]</f>
        <v>500</v>
      </c>
      <c r="F91" s="129">
        <f>Tabelle51349[[#Totals],[Interne Reisekosten]]</f>
        <v>500</v>
      </c>
      <c r="G91" s="129">
        <f>Tabelle51349[[#Totals],[Raum + Unterkunft intern]]</f>
        <v>4800</v>
      </c>
      <c r="H91" s="129">
        <f>Tabelle51349[[#Totals],[Repräsentation/Bewirtung intern]]</f>
        <v>200</v>
      </c>
      <c r="I91" s="268">
        <f>SUM(E91:H91)</f>
        <v>6000</v>
      </c>
      <c r="R91" s="98">
        <f t="shared" si="10"/>
        <v>10</v>
      </c>
      <c r="S91" s="113" t="s">
        <v>765</v>
      </c>
      <c r="T91" s="113"/>
      <c r="U91" s="113"/>
      <c r="V91" s="128">
        <f>Tabelle513[[#Totals],[Aufwandsentschädigungen]]</f>
        <v>750</v>
      </c>
      <c r="W91" s="129">
        <f>Tabelle513[[#Totals],[Interne Reisekosten]]</f>
        <v>750</v>
      </c>
      <c r="X91" s="129">
        <f>Tabelle513[[#Totals],[Raum + Unterkunft intern]]</f>
        <v>500</v>
      </c>
      <c r="Y91" s="129">
        <f>Tabelle513[[#Totals],[Repräsentation/Bewirtung intern]]</f>
        <v>300</v>
      </c>
      <c r="Z91" s="268">
        <f>SUM(V91:Y91)</f>
        <v>2300</v>
      </c>
    </row>
    <row r="92" spans="1:26" s="81" customFormat="1" ht="15.75" customHeight="1" outlineLevel="1" thickBot="1" x14ac:dyDescent="0.35">
      <c r="A92" s="263" t="e">
        <f>ROW(#REF!)</f>
        <v>#REF!</v>
      </c>
      <c r="B92" s="264" t="s">
        <v>606</v>
      </c>
      <c r="C92" s="264"/>
      <c r="D92" s="264" t="s">
        <v>766</v>
      </c>
      <c r="E92" s="265"/>
      <c r="F92" s="266"/>
      <c r="G92" s="266"/>
      <c r="H92" s="266"/>
      <c r="I92" s="269"/>
      <c r="R92" s="263">
        <f t="shared" si="10"/>
        <v>11</v>
      </c>
      <c r="S92" s="264" t="s">
        <v>606</v>
      </c>
      <c r="T92" s="264"/>
      <c r="U92" s="264" t="s">
        <v>766</v>
      </c>
      <c r="V92" s="265">
        <v>500</v>
      </c>
      <c r="W92" s="266">
        <v>500</v>
      </c>
      <c r="X92" s="266">
        <v>200</v>
      </c>
      <c r="Y92" s="266">
        <v>100</v>
      </c>
      <c r="Z92" s="269">
        <f>SUM(V92:Y92)</f>
        <v>1300</v>
      </c>
    </row>
    <row r="93" spans="1:26" ht="23.25" customHeight="1" thickBot="1" x14ac:dyDescent="0.35">
      <c r="A93" s="98"/>
      <c r="B93" s="98"/>
      <c r="C93" s="98"/>
      <c r="D93" s="107" t="s">
        <v>697</v>
      </c>
      <c r="E93" s="274">
        <f>SUBTOTAL(9,Tabelle61550[Aufwandsentschädigungen])</f>
        <v>500</v>
      </c>
      <c r="F93" s="387">
        <f>SUBTOTAL(9,Tabelle61550[Interne Reisekosten])</f>
        <v>500</v>
      </c>
      <c r="G93" s="387">
        <f>SUBTOTAL(9,Tabelle61550[Raum + Unterkunft intern])</f>
        <v>4800</v>
      </c>
      <c r="H93" s="387">
        <f>SUBTOTAL(9,Tabelle61550[Repräsentation/Bewirtung intern])</f>
        <v>200</v>
      </c>
      <c r="I93" s="674">
        <f>SUBTOTAL(9,Tabelle61550[Gesamt])</f>
        <v>6000</v>
      </c>
      <c r="R93" s="98"/>
      <c r="S93" s="98"/>
      <c r="T93" s="98"/>
      <c r="U93" s="107" t="s">
        <v>697</v>
      </c>
      <c r="V93" s="274">
        <f>SUBTOTAL(9,Tabelle615[Aufwandsentschädigungen])</f>
        <v>5270</v>
      </c>
      <c r="W93" s="387">
        <f>SUBTOTAL(9,Tabelle615[Interne Reisekosten])</f>
        <v>3570</v>
      </c>
      <c r="X93" s="387">
        <f>SUBTOTAL(9,Tabelle615[Raum + Unterkunft intern])</f>
        <v>2670</v>
      </c>
      <c r="Y93" s="387">
        <f>SUBTOTAL(9,Tabelle615[Repräsentation/Bewirtung intern])</f>
        <v>1200</v>
      </c>
      <c r="Z93" s="674">
        <f>SUBTOTAL(9,Tabelle615[Gesamt])</f>
        <v>12710</v>
      </c>
    </row>
  </sheetData>
  <sheetProtection insertRows="0" insertHyperlinks="0" selectLockedCells="1" sort="0" autoFilter="0" pivotTables="0"/>
  <hyperlinks>
    <hyperlink ref="T58" location="KSW!F5" display="KSW!F5" xr:uid="{00000000-0004-0000-1100-000000000000}"/>
    <hyperlink ref="U58" location="KSW!F6" display="KSW!F6" xr:uid="{00000000-0004-0000-1100-000001000000}"/>
    <hyperlink ref="V58" location="KSW!F7" display="KSW!F7" xr:uid="{00000000-0004-0000-1100-000002000000}"/>
    <hyperlink ref="T76" location="KSW!F6" display="KSW!F6" xr:uid="{00000000-0004-0000-1100-000003000000}"/>
    <hyperlink ref="U76" location="KSW!F7" display="KSW!F7" xr:uid="{00000000-0004-0000-1100-000004000000}"/>
    <hyperlink ref="V76" location="KSW!F11" display="KSW!F11" xr:uid="{00000000-0004-0000-1100-000005000000}"/>
    <hyperlink ref="V93" location="KSW!F11" display="KSW!F11" xr:uid="{00000000-0004-0000-1100-000006000000}"/>
    <hyperlink ref="W76" location="KSW!F12" display="KSW!F12" xr:uid="{00000000-0004-0000-1100-000007000000}"/>
    <hyperlink ref="W93" location="KSW!F12" display="KSW!F12" xr:uid="{00000000-0004-0000-1100-000008000000}"/>
    <hyperlink ref="X76" location="KSW!F13" display="KSW!F13" xr:uid="{00000000-0004-0000-1100-000009000000}"/>
    <hyperlink ref="X93" location="KSW!F13" display="KSW!F13" xr:uid="{00000000-0004-0000-1100-00000A000000}"/>
    <hyperlink ref="Y76" location="KSW!F14" display="KSW!F14" xr:uid="{00000000-0004-0000-1100-00000B000000}"/>
    <hyperlink ref="Y93" location="KSW!F14" display="KSW!F14" xr:uid="{00000000-0004-0000-1100-00000C000000}"/>
    <hyperlink ref="W58" location="KSW!F15" display="KSW!F15" xr:uid="{00000000-0004-0000-1100-00000D000000}"/>
    <hyperlink ref="X58" location="KSW!F16" display="KSW!F16" xr:uid="{00000000-0004-0000-1100-00000E000000}"/>
    <hyperlink ref="Z76" location="KSW!F18" display="KSW!F18" xr:uid="{00000000-0004-0000-1100-00000F000000}"/>
    <hyperlink ref="AA76" location="KSW!F19" display="KSW!F19" xr:uid="{00000000-0004-0000-1100-000010000000}"/>
    <hyperlink ref="AB76" location="KSW!F20" display="KSW!F20" xr:uid="{00000000-0004-0000-1100-000011000000}"/>
    <hyperlink ref="Y58" location="KSW!F17" display="KSW!F17" xr:uid="{00000000-0004-0000-1100-000012000000}"/>
    <hyperlink ref="Z58" location="KSW!F18" display="KSW!F18" xr:uid="{00000000-0004-0000-1100-000013000000}"/>
    <hyperlink ref="AA58" location="KSW!F19" display="KSW!F19" xr:uid="{00000000-0004-0000-1100-000014000000}"/>
    <hyperlink ref="AB58" location="KSW!F20" display="KSW!F20" xr:uid="{00000000-0004-0000-1100-000015000000}"/>
    <hyperlink ref="AC76" location="KSW!F21" display="KSW!F21" xr:uid="{00000000-0004-0000-1100-000016000000}"/>
    <hyperlink ref="AD76" location="KSW!F22" display="KSW!F22" xr:uid="{00000000-0004-0000-1100-000017000000}"/>
    <hyperlink ref="B11" location="KSW_AE_var" display="AE variabel" xr:uid="{00000000-0004-0000-1100-000018000000}"/>
    <hyperlink ref="B12" location="KSW_RK_Int." display="Fahrtkosten und Verpflegungspauschalen" xr:uid="{00000000-0004-0000-1100-000019000000}"/>
    <hyperlink ref="B13" location="KSW_R_U_Int." display="Raum- und Unterkunftskosten" xr:uid="{00000000-0004-0000-1100-00001A000000}"/>
    <hyperlink ref="B14" location="KSW_Bew.Int." display="Bewirtung und Repräsentation intern" xr:uid="{00000000-0004-0000-1100-00001B000000}"/>
    <hyperlink ref="B15" location="KSW_Hon_I" display="Honorare Fachseminare" xr:uid="{00000000-0004-0000-1100-00001C000000}"/>
    <hyperlink ref="B16" location="KSW_Hon_II" display="Andere Honorare" xr:uid="{00000000-0004-0000-1100-00001D000000}"/>
    <hyperlink ref="B17" location="KSW_Ext.RK" display="Ext. Reisekosten" xr:uid="{00000000-0004-0000-1100-00001E000000}"/>
    <hyperlink ref="B18" location="KSW_Bew.Ext." display="Bewirtung und Repräsentation extern" xr:uid="{00000000-0004-0000-1100-00001F000000}"/>
    <hyperlink ref="B19" location="KSW_R_U_Ext." display="Raum- und Unterkunftskosten Seminare und Veranst." xr:uid="{00000000-0004-0000-1100-000020000000}"/>
    <hyperlink ref="B20" location="KSW_Druck" display="Druckkosten" xr:uid="{00000000-0004-0000-1100-000021000000}"/>
    <hyperlink ref="B21" location="KSW_Sonst." display="Sonstige Kosten (Lizenzen, Allg. Geschäftsbetrieb)" xr:uid="{00000000-0004-0000-1100-000022000000}"/>
    <hyperlink ref="B22" location="Rechtsk.FSen" display="Rechtsangelegenheiten" xr:uid="{00000000-0004-0000-1100-000023000000}"/>
    <hyperlink ref="B7" location="KSW_Sonst_Einnahmen" display="Sonstige Einnahmen (Vorauszahlungen Bewirtung, Werbung, …)" xr:uid="{00000000-0004-0000-1100-000024000000}"/>
    <hyperlink ref="B6" location="KSW_TN_Beiträge_II" display="Teilnahmebeiträge Veranstaltungen" xr:uid="{00000000-0004-0000-1100-000025000000}"/>
    <hyperlink ref="B5" location="KSW_TN_Beiträge_I" display="Teilnahmebeiträge Seminare" xr:uid="{00000000-0004-0000-1100-000026000000}"/>
    <hyperlink ref="H11" location="AEFKKSW_413.21" display="AEFKKSW_413.21" xr:uid="{00000000-0004-0000-1100-000027000000}"/>
    <hyperlink ref="H12" location="AEFKKSW_527.40" display="AEFKKSW_527.40" xr:uid="{00000000-0004-0000-1100-000028000000}"/>
    <hyperlink ref="H13" location="AEFKKSW_529.40" display="AEFKKSW_529.40" xr:uid="{00000000-0004-0000-1100-000029000000}"/>
    <hyperlink ref="H14" location="AEFKKSW_531.40" display="AEFKKSW_531.40" xr:uid="{00000000-0004-0000-1100-00002A000000}"/>
    <hyperlink ref="H15" location="SemKSW_551.10" display="SemKSW_551.10" xr:uid="{00000000-0004-0000-1100-00002B000000}"/>
    <hyperlink ref="H17" location="SemKSW_551.30" display="SemKSW_551.30" xr:uid="{00000000-0004-0000-1100-00002C000000}"/>
    <hyperlink ref="H18" location="SemKSW_551.40" display="SemKSW_551.40" xr:uid="{00000000-0004-0000-1100-00002D000000}"/>
    <hyperlink ref="H19" location="SemKSW_551.50" display="SemKSW_551.50" xr:uid="{00000000-0004-0000-1100-00002E000000}"/>
    <hyperlink ref="H20" location="SemKSW_551.60" display="SemKSW_551.60" xr:uid="{00000000-0004-0000-1100-00002F000000}"/>
    <hyperlink ref="H21" location="MaßnKSW_551.70" display="MaßnKSW_551.70" xr:uid="{00000000-0004-0000-1100-000030000000}"/>
    <hyperlink ref="H22" location="MaßnKSW_560.70" display="MaßnKSW_560.70" xr:uid="{00000000-0004-0000-1100-000031000000}"/>
    <hyperlink ref="H5" location="SemKSW_210.10" display="SemKSW_210.10" xr:uid="{00000000-0004-0000-1100-000032000000}"/>
    <hyperlink ref="H6" location="MaßnKSW_220.10" display="MaßnKSW_220.10" xr:uid="{00000000-0004-0000-1100-000033000000}"/>
    <hyperlink ref="H7" location="MaßnKSW_230.10" display="MaßnKSW_230.10" xr:uid="{00000000-0004-0000-1100-000034000000}"/>
    <hyperlink ref="C58" location="KSW!F5" display="KSW!F5" xr:uid="{00000000-0004-0000-1100-000035000000}"/>
    <hyperlink ref="D58" location="KSW!F6" display="KSW!F6" xr:uid="{00000000-0004-0000-1100-000036000000}"/>
    <hyperlink ref="E58" location="KSW!F7" display="KSW!F7" xr:uid="{00000000-0004-0000-1100-000037000000}"/>
    <hyperlink ref="C76" location="KSW!F6" display="KSW!F6" xr:uid="{00000000-0004-0000-1100-000038000000}"/>
    <hyperlink ref="D76" location="KSW!F7" display="KSW!F7" xr:uid="{00000000-0004-0000-1100-000039000000}"/>
    <hyperlink ref="E76" location="KSW!F11" display="KSW!F11" xr:uid="{00000000-0004-0000-1100-00003A000000}"/>
    <hyperlink ref="E93" location="KSW!F11" display="KSW!F11" xr:uid="{00000000-0004-0000-1100-00003B000000}"/>
    <hyperlink ref="F76" location="KSW!F12" display="KSW!F12" xr:uid="{00000000-0004-0000-1100-00003C000000}"/>
    <hyperlink ref="F93" location="KSW!F12" display="KSW!F12" xr:uid="{00000000-0004-0000-1100-00003D000000}"/>
    <hyperlink ref="G76" location="KSW!F13" display="KSW!F13" xr:uid="{00000000-0004-0000-1100-00003E000000}"/>
    <hyperlink ref="G93" location="KSW!F13" display="KSW!F13" xr:uid="{00000000-0004-0000-1100-00003F000000}"/>
    <hyperlink ref="H76" location="KSW!F14" display="KSW!F14" xr:uid="{00000000-0004-0000-1100-000040000000}"/>
    <hyperlink ref="H93" location="KSW!F14" display="KSW!F14" xr:uid="{00000000-0004-0000-1100-000041000000}"/>
    <hyperlink ref="F58" location="KSW!F15" display="KSW!F15" xr:uid="{00000000-0004-0000-1100-000042000000}"/>
    <hyperlink ref="G58" location="KSW!F16" display="KSW!F16" xr:uid="{00000000-0004-0000-1100-000043000000}"/>
    <hyperlink ref="I76" location="KSW!F18" display="KSW!F18" xr:uid="{00000000-0004-0000-1100-000044000000}"/>
    <hyperlink ref="J76" location="KSW!F19" display="KSW!F19" xr:uid="{00000000-0004-0000-1100-000045000000}"/>
    <hyperlink ref="K76" location="KSW!F20" display="KSW!F20" xr:uid="{00000000-0004-0000-1100-000046000000}"/>
    <hyperlink ref="H58" location="KSW!F17" display="KSW!F17" xr:uid="{00000000-0004-0000-1100-000047000000}"/>
    <hyperlink ref="I58" location="KSW!F18" display="KSW!F18" xr:uid="{00000000-0004-0000-1100-000048000000}"/>
    <hyperlink ref="J58" location="KSW!F19" display="KSW!F19" xr:uid="{00000000-0004-0000-1100-000049000000}"/>
    <hyperlink ref="K58" location="KSW!F20" display="KSW!F20" xr:uid="{00000000-0004-0000-1100-00004A000000}"/>
    <hyperlink ref="L76" location="KSW!F21" display="KSW!F21" xr:uid="{00000000-0004-0000-1100-00004B000000}"/>
    <hyperlink ref="M76" location="KSW!F22" display="KSW!F22" xr:uid="{00000000-0004-0000-11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
  <dimension ref="A1:R138"/>
  <sheetViews>
    <sheetView zoomScaleNormal="100" workbookViewId="0">
      <pane xSplit="1" ySplit="8" topLeftCell="B9" activePane="bottomRight" state="frozen"/>
      <selection pane="topRight" activeCell="B1" sqref="B1"/>
      <selection pane="bottomLeft" activeCell="A8" sqref="A8"/>
      <selection pane="bottomRight" activeCell="A2" sqref="A2"/>
    </sheetView>
  </sheetViews>
  <sheetFormatPr baseColWidth="10" defaultColWidth="11.44140625" defaultRowHeight="14.4" outlineLevelRow="2" x14ac:dyDescent="0.3"/>
  <cols>
    <col min="1" max="1" width="42.44140625" customWidth="1"/>
    <col min="2" max="18" width="13.6640625" customWidth="1"/>
  </cols>
  <sheetData>
    <row r="1" spans="1:18" ht="58.2" thickBot="1" x14ac:dyDescent="0.35">
      <c r="A1" s="61" t="s">
        <v>642</v>
      </c>
      <c r="B1" s="332" t="s">
        <v>643</v>
      </c>
      <c r="C1" s="333" t="s">
        <v>318</v>
      </c>
      <c r="D1" s="333" t="s">
        <v>644</v>
      </c>
      <c r="E1" s="333" t="s">
        <v>321</v>
      </c>
      <c r="F1" s="333" t="s">
        <v>645</v>
      </c>
      <c r="G1" s="333" t="s">
        <v>646</v>
      </c>
      <c r="H1" s="333" t="s">
        <v>647</v>
      </c>
      <c r="I1" s="333" t="s">
        <v>648</v>
      </c>
      <c r="J1" s="333" t="s">
        <v>329</v>
      </c>
      <c r="K1" s="333" t="s">
        <v>649</v>
      </c>
      <c r="L1" s="333" t="s">
        <v>418</v>
      </c>
      <c r="M1" s="333" t="s">
        <v>513</v>
      </c>
      <c r="N1" s="333" t="s">
        <v>650</v>
      </c>
      <c r="O1" s="333" t="s">
        <v>651</v>
      </c>
      <c r="P1" s="333" t="s">
        <v>652</v>
      </c>
      <c r="Q1" s="333" t="s">
        <v>653</v>
      </c>
      <c r="R1" s="334" t="s">
        <v>118</v>
      </c>
    </row>
    <row r="2" spans="1:18" ht="23.25" customHeight="1" thickBot="1" x14ac:dyDescent="0.35">
      <c r="A2" s="84" t="s">
        <v>530</v>
      </c>
      <c r="B2" s="335">
        <f>1150</f>
        <v>1150</v>
      </c>
      <c r="C2" s="336">
        <f>8050</f>
        <v>8050</v>
      </c>
      <c r="D2" s="336">
        <f>17800</f>
        <v>17800</v>
      </c>
      <c r="E2" s="336">
        <f>2300</f>
        <v>2300</v>
      </c>
      <c r="F2" s="336">
        <f>2500</f>
        <v>2500</v>
      </c>
      <c r="G2" s="196">
        <f>13500</f>
        <v>13500</v>
      </c>
      <c r="H2" s="196">
        <f>5960</f>
        <v>5960</v>
      </c>
      <c r="I2" s="196">
        <f>22000</f>
        <v>22000</v>
      </c>
      <c r="J2" s="196">
        <f>0</f>
        <v>0</v>
      </c>
      <c r="K2" s="196">
        <f>2100</f>
        <v>2100</v>
      </c>
      <c r="L2" s="1065"/>
      <c r="M2" s="59">
        <f>SUBTOTAL(9,B2:K2)</f>
        <v>75360</v>
      </c>
      <c r="N2" s="292">
        <f>0</f>
        <v>0</v>
      </c>
      <c r="O2" s="292">
        <f>0</f>
        <v>0</v>
      </c>
      <c r="P2" s="292">
        <f>0</f>
        <v>0</v>
      </c>
      <c r="Q2" s="1066">
        <f>0</f>
        <v>0</v>
      </c>
      <c r="R2" s="337">
        <f>0</f>
        <v>0</v>
      </c>
    </row>
    <row r="3" spans="1:18" ht="23.25" customHeight="1" thickBot="1" x14ac:dyDescent="0.35">
      <c r="A3" s="84" t="s">
        <v>531</v>
      </c>
      <c r="B3" s="53">
        <v>9180</v>
      </c>
      <c r="C3" s="54">
        <v>10200</v>
      </c>
      <c r="D3" s="54">
        <v>16800</v>
      </c>
      <c r="E3" s="54">
        <v>3850</v>
      </c>
      <c r="F3" s="1079">
        <v>5050</v>
      </c>
      <c r="G3" s="1067">
        <v>10100</v>
      </c>
      <c r="H3" s="54">
        <v>16250</v>
      </c>
      <c r="I3" s="54">
        <v>4730</v>
      </c>
      <c r="J3" s="54">
        <v>3150</v>
      </c>
      <c r="K3" s="54">
        <v>11700</v>
      </c>
      <c r="L3" s="54">
        <v>5500</v>
      </c>
      <c r="M3" s="59">
        <v>96510</v>
      </c>
      <c r="N3" s="55">
        <v>5200</v>
      </c>
      <c r="O3" s="55">
        <v>5050</v>
      </c>
      <c r="P3" s="55">
        <v>0</v>
      </c>
      <c r="Q3" s="55">
        <v>13300</v>
      </c>
      <c r="R3" s="60" t="e">
        <f>[5]!Tabelle8[[#Totals],[Einnahmen Gesamt]]</f>
        <v>#REF!</v>
      </c>
    </row>
    <row r="4" spans="1:18" ht="23.25" customHeight="1" thickBot="1" x14ac:dyDescent="0.35">
      <c r="A4" s="160" t="s">
        <v>1330</v>
      </c>
      <c r="B4" s="215">
        <f>Tabelle8[[#Totals],[Honorare Dozierende]]</f>
        <v>19390</v>
      </c>
      <c r="C4" s="196">
        <f>Tabelle8[[#Totals],[Andere Honorare]]</f>
        <v>13770</v>
      </c>
      <c r="D4" s="196">
        <f>Tabelle8[[#Totals],[Interne Reisekosten]]</f>
        <v>26000</v>
      </c>
      <c r="E4" s="196">
        <f>Tabelle8[[#Totals],[Externe Reisekosten]]</f>
        <v>2900</v>
      </c>
      <c r="F4" s="196">
        <f>Tabelle8[[#Totals],[Bewirtung/Repräsentation int.]]</f>
        <v>2548</v>
      </c>
      <c r="G4" s="196">
        <f>Tabelle8[[#Totals],[Bewirtung/Repräsentation ext.]]</f>
        <v>2900</v>
      </c>
      <c r="H4" s="196">
        <f>Tabelle8[[#Totals],[Raum- und Unterkunftskosten int.]]</f>
        <v>22791</v>
      </c>
      <c r="I4" s="196">
        <f>Tabelle8[[#Totals],[Raum- und Unterkunftskosten ext.]]</f>
        <v>2206</v>
      </c>
      <c r="J4" s="196">
        <f>Tabelle8[[#Totals],[Druckkosten]]</f>
        <v>9025</v>
      </c>
      <c r="K4" s="196">
        <f>Tabelle8[[#Totals],[Sonstige Ausgaben]]</f>
        <v>48390</v>
      </c>
      <c r="L4" s="196">
        <f>Tabelle8[[#Totals],[IT-Dienstleistungen]]</f>
        <v>72288</v>
      </c>
      <c r="M4" s="59">
        <f>SUM(B4:L4)</f>
        <v>222208</v>
      </c>
      <c r="N4" s="292">
        <f>Tabelle8[[#Totals],[Teilnahmebeiträge Seminare]]</f>
        <v>2500</v>
      </c>
      <c r="O4" s="292">
        <f>Tabelle8[[#Totals],[Teilnahmebeiträge Veranstaltungen]]</f>
        <v>450</v>
      </c>
      <c r="P4" s="292">
        <f>Tabelle8[[#Totals],[Bewirtung Veranst.]]</f>
        <v>0</v>
      </c>
      <c r="Q4" s="292">
        <f>Tabelle8[[#Totals],[Förderungen]]</f>
        <v>9176.25</v>
      </c>
      <c r="R4" s="60">
        <f>Tabelle8[[#Totals],[Einnahmen Gesamt]]</f>
        <v>12126.25</v>
      </c>
    </row>
    <row r="5" spans="1:18" x14ac:dyDescent="0.3">
      <c r="A5" s="137" t="s">
        <v>654</v>
      </c>
    </row>
    <row r="6" spans="1:18" ht="18.600000000000001" thickBot="1" x14ac:dyDescent="0.4">
      <c r="A6" s="11" t="s">
        <v>655</v>
      </c>
    </row>
    <row r="7" spans="1:18" ht="23.25" customHeight="1" x14ac:dyDescent="0.3">
      <c r="A7" s="84" t="s">
        <v>656</v>
      </c>
      <c r="B7" s="338" t="s">
        <v>313</v>
      </c>
      <c r="C7" s="339" t="s">
        <v>316</v>
      </c>
      <c r="D7" s="339" t="s">
        <v>237</v>
      </c>
      <c r="E7" s="339" t="s">
        <v>319</v>
      </c>
      <c r="F7" s="339" t="s">
        <v>286</v>
      </c>
      <c r="G7" s="339" t="s">
        <v>322</v>
      </c>
      <c r="H7" s="339" t="s">
        <v>261</v>
      </c>
      <c r="I7" s="339" t="s">
        <v>325</v>
      </c>
      <c r="J7" s="339" t="s">
        <v>328</v>
      </c>
      <c r="K7" s="339" t="s">
        <v>330</v>
      </c>
      <c r="L7" s="339" t="s">
        <v>416</v>
      </c>
      <c r="M7" s="339"/>
      <c r="N7" s="340" t="s">
        <v>34</v>
      </c>
      <c r="O7" s="340" t="s">
        <v>37</v>
      </c>
      <c r="P7" s="340" t="s">
        <v>45</v>
      </c>
      <c r="Q7" s="340" t="s">
        <v>49</v>
      </c>
      <c r="R7" s="341"/>
    </row>
    <row r="8" spans="1:18" ht="58.2" outlineLevel="1" thickBot="1" x14ac:dyDescent="0.35">
      <c r="A8" s="62" t="s">
        <v>657</v>
      </c>
      <c r="B8" s="37" t="s">
        <v>643</v>
      </c>
      <c r="C8" s="37" t="s">
        <v>318</v>
      </c>
      <c r="D8" s="37" t="s">
        <v>644</v>
      </c>
      <c r="E8" s="37" t="s">
        <v>321</v>
      </c>
      <c r="F8" s="37" t="s">
        <v>645</v>
      </c>
      <c r="G8" s="37" t="s">
        <v>646</v>
      </c>
      <c r="H8" s="37" t="s">
        <v>647</v>
      </c>
      <c r="I8" s="37" t="s">
        <v>648</v>
      </c>
      <c r="J8" s="37" t="s">
        <v>329</v>
      </c>
      <c r="K8" s="37" t="s">
        <v>649</v>
      </c>
      <c r="L8" s="37" t="s">
        <v>418</v>
      </c>
      <c r="M8" s="37" t="s">
        <v>513</v>
      </c>
      <c r="N8" s="37" t="s">
        <v>650</v>
      </c>
      <c r="O8" s="37" t="s">
        <v>651</v>
      </c>
      <c r="P8" s="37" t="s">
        <v>652</v>
      </c>
      <c r="Q8" s="37" t="s">
        <v>653</v>
      </c>
      <c r="R8" s="37" t="s">
        <v>118</v>
      </c>
    </row>
    <row r="9" spans="1:18" ht="15" outlineLevel="1" thickBot="1" x14ac:dyDescent="0.35">
      <c r="A9" s="45" t="s">
        <v>658</v>
      </c>
      <c r="B9" s="49"/>
      <c r="C9" s="49"/>
      <c r="D9" s="49"/>
      <c r="E9" s="49"/>
      <c r="F9" s="49"/>
      <c r="G9" s="49"/>
      <c r="H9" s="49"/>
      <c r="I9" s="49"/>
      <c r="J9" s="49"/>
      <c r="K9" s="49"/>
      <c r="L9" s="49"/>
      <c r="M9" s="49"/>
      <c r="N9" s="50"/>
      <c r="O9" s="50"/>
      <c r="P9" s="50"/>
      <c r="Q9" s="50"/>
      <c r="R9" s="51"/>
    </row>
    <row r="10" spans="1:18" s="81" customFormat="1" outlineLevel="2" x14ac:dyDescent="0.3">
      <c r="A10" s="350" t="s">
        <v>1356</v>
      </c>
      <c r="B10" s="343"/>
      <c r="C10" s="343"/>
      <c r="D10" s="351">
        <v>1000</v>
      </c>
      <c r="E10" s="343"/>
      <c r="F10" s="343"/>
      <c r="G10" s="343"/>
      <c r="H10" s="343"/>
      <c r="I10" s="343"/>
      <c r="J10" s="343"/>
      <c r="K10" s="343"/>
      <c r="L10" s="351">
        <v>1000</v>
      </c>
      <c r="M10" s="344">
        <f t="shared" ref="M10:M15" si="0">SUM(B10:L10)</f>
        <v>2000</v>
      </c>
      <c r="N10" s="343"/>
      <c r="O10" s="343"/>
      <c r="P10" s="343"/>
      <c r="Q10" s="343"/>
      <c r="R10" s="345">
        <f>SUM(N10:Q10)</f>
        <v>0</v>
      </c>
    </row>
    <row r="11" spans="1:18" s="81" customFormat="1" outlineLevel="2" x14ac:dyDescent="0.3">
      <c r="A11" s="989" t="s">
        <v>1357</v>
      </c>
      <c r="B11" s="298"/>
      <c r="C11" s="298"/>
      <c r="D11" s="991">
        <v>1500</v>
      </c>
      <c r="E11" s="298"/>
      <c r="F11" s="298"/>
      <c r="G11" s="298"/>
      <c r="H11" s="298"/>
      <c r="I11" s="298"/>
      <c r="J11" s="298"/>
      <c r="K11" s="298"/>
      <c r="L11" s="991">
        <f>249*12</f>
        <v>2988</v>
      </c>
      <c r="M11" s="298">
        <f t="shared" si="0"/>
        <v>4488</v>
      </c>
      <c r="N11" s="298"/>
      <c r="O11" s="298"/>
      <c r="P11" s="298"/>
      <c r="Q11" s="298"/>
      <c r="R11" s="347">
        <f>SUM(N11:Q11)</f>
        <v>0</v>
      </c>
    </row>
    <row r="12" spans="1:18" s="81" customFormat="1" ht="244.8" outlineLevel="2" x14ac:dyDescent="0.3">
      <c r="A12" s="989" t="s">
        <v>1393</v>
      </c>
      <c r="B12" s="298"/>
      <c r="C12" s="298"/>
      <c r="D12" s="991">
        <v>1000</v>
      </c>
      <c r="E12" s="298"/>
      <c r="F12" s="298"/>
      <c r="G12" s="298"/>
      <c r="H12" s="298"/>
      <c r="I12" s="298"/>
      <c r="J12" s="298"/>
      <c r="K12" s="298"/>
      <c r="L12" s="991">
        <f>500*12</f>
        <v>6000</v>
      </c>
      <c r="M12" s="298">
        <f t="shared" si="0"/>
        <v>7000</v>
      </c>
      <c r="N12" s="298"/>
      <c r="O12" s="298"/>
      <c r="P12" s="298"/>
      <c r="Q12" s="298"/>
      <c r="R12" s="347">
        <f>SUM(N12:Q12)</f>
        <v>0</v>
      </c>
    </row>
    <row r="13" spans="1:18" s="81" customFormat="1" outlineLevel="2" x14ac:dyDescent="0.3">
      <c r="A13" s="990" t="s">
        <v>1358</v>
      </c>
      <c r="B13" s="287"/>
      <c r="C13" s="287"/>
      <c r="D13" s="969">
        <v>2000</v>
      </c>
      <c r="E13" s="287"/>
      <c r="F13" s="287"/>
      <c r="G13" s="287"/>
      <c r="H13" s="287"/>
      <c r="I13" s="287"/>
      <c r="J13" s="287"/>
      <c r="K13" s="287"/>
      <c r="L13" s="287"/>
      <c r="M13" s="298">
        <f t="shared" si="0"/>
        <v>2000</v>
      </c>
      <c r="N13" s="287"/>
      <c r="O13" s="287"/>
      <c r="P13" s="287"/>
      <c r="Q13" s="287"/>
      <c r="R13" s="349">
        <f>SUM(N13:Q13)</f>
        <v>0</v>
      </c>
    </row>
    <row r="14" spans="1:18" s="81" customFormat="1" ht="15" outlineLevel="2" thickBot="1" x14ac:dyDescent="0.35">
      <c r="A14" s="348" t="s">
        <v>659</v>
      </c>
      <c r="B14" s="287">
        <v>1000</v>
      </c>
      <c r="C14" s="287">
        <v>1000</v>
      </c>
      <c r="D14" s="287">
        <v>1000</v>
      </c>
      <c r="E14" s="287">
        <v>500</v>
      </c>
      <c r="F14" s="287">
        <v>100</v>
      </c>
      <c r="G14" s="287">
        <v>100</v>
      </c>
      <c r="H14" s="287">
        <v>500</v>
      </c>
      <c r="I14" s="287">
        <v>200</v>
      </c>
      <c r="J14" s="287">
        <v>500</v>
      </c>
      <c r="K14" s="287">
        <v>500</v>
      </c>
      <c r="L14" s="287">
        <v>500</v>
      </c>
      <c r="M14" s="297">
        <f t="shared" si="0"/>
        <v>5900</v>
      </c>
      <c r="N14" s="287"/>
      <c r="O14" s="287"/>
      <c r="P14" s="287"/>
      <c r="Q14" s="287"/>
      <c r="R14" s="349">
        <f>SUM(N14:Q14)</f>
        <v>0</v>
      </c>
    </row>
    <row r="15" spans="1:18" ht="15" outlineLevel="1" thickBot="1" x14ac:dyDescent="0.35">
      <c r="A15" s="52" t="s">
        <v>660</v>
      </c>
      <c r="B15" s="53">
        <f t="shared" ref="B15:L15" si="1">SUBTOTAL(9,B10:B14)</f>
        <v>1000</v>
      </c>
      <c r="C15" s="54">
        <f t="shared" si="1"/>
        <v>1000</v>
      </c>
      <c r="D15" s="54">
        <f t="shared" si="1"/>
        <v>6500</v>
      </c>
      <c r="E15" s="54">
        <f t="shared" si="1"/>
        <v>500</v>
      </c>
      <c r="F15" s="54">
        <f t="shared" si="1"/>
        <v>100</v>
      </c>
      <c r="G15" s="54">
        <f t="shared" si="1"/>
        <v>100</v>
      </c>
      <c r="H15" s="54">
        <f t="shared" si="1"/>
        <v>500</v>
      </c>
      <c r="I15" s="54">
        <f t="shared" si="1"/>
        <v>200</v>
      </c>
      <c r="J15" s="54">
        <f t="shared" si="1"/>
        <v>500</v>
      </c>
      <c r="K15" s="54">
        <f t="shared" si="1"/>
        <v>500</v>
      </c>
      <c r="L15" s="54">
        <f t="shared" si="1"/>
        <v>10488</v>
      </c>
      <c r="M15" s="54">
        <f t="shared" si="0"/>
        <v>21388</v>
      </c>
      <c r="N15" s="55">
        <f>SUBTOTAL(9,N10:N14)</f>
        <v>0</v>
      </c>
      <c r="O15" s="55">
        <f>SUBTOTAL(9,O10:O14)</f>
        <v>0</v>
      </c>
      <c r="P15" s="55">
        <f>SUBTOTAL(9,P10:P14)</f>
        <v>0</v>
      </c>
      <c r="Q15" s="55">
        <f>SUBTOTAL(9,Q10:Q14)</f>
        <v>0</v>
      </c>
      <c r="R15" s="56">
        <f>SUBTOTAL(9,R10:R14)</f>
        <v>0</v>
      </c>
    </row>
    <row r="16" spans="1:18" outlineLevel="1" x14ac:dyDescent="0.3">
      <c r="A16" s="34"/>
      <c r="B16" s="57"/>
      <c r="C16" s="57"/>
      <c r="D16" s="57"/>
      <c r="E16" s="57"/>
      <c r="F16" s="57"/>
      <c r="G16" s="57"/>
      <c r="H16" s="57"/>
      <c r="I16" s="57"/>
      <c r="J16" s="57"/>
      <c r="K16" s="57"/>
      <c r="L16" s="57"/>
      <c r="M16" s="57"/>
      <c r="N16" s="57"/>
      <c r="O16" s="57"/>
      <c r="P16" s="57"/>
      <c r="Q16" s="57"/>
      <c r="R16" s="58"/>
    </row>
    <row r="17" spans="1:18" ht="15" outlineLevel="1" thickBot="1" x14ac:dyDescent="0.35">
      <c r="A17" s="45" t="s">
        <v>661</v>
      </c>
      <c r="B17" s="49"/>
      <c r="C17" s="49"/>
      <c r="D17" s="49"/>
      <c r="E17" s="49"/>
      <c r="F17" s="49"/>
      <c r="G17" s="49"/>
      <c r="H17" s="49"/>
      <c r="I17" s="49"/>
      <c r="J17" s="49"/>
      <c r="K17" s="49"/>
      <c r="L17" s="49"/>
      <c r="M17" s="49"/>
      <c r="N17" s="50"/>
      <c r="O17" s="50"/>
      <c r="P17" s="50"/>
      <c r="Q17" s="50"/>
      <c r="R17" s="51"/>
    </row>
    <row r="18" spans="1:18" s="81" customFormat="1" ht="28.8" outlineLevel="2" x14ac:dyDescent="0.3">
      <c r="A18" s="342" t="s">
        <v>662</v>
      </c>
      <c r="B18" s="343"/>
      <c r="C18" s="343"/>
      <c r="D18" s="343">
        <v>800</v>
      </c>
      <c r="E18" s="343"/>
      <c r="F18" s="343">
        <v>100</v>
      </c>
      <c r="G18" s="343">
        <v>100</v>
      </c>
      <c r="H18" s="343">
        <v>600</v>
      </c>
      <c r="I18" s="343"/>
      <c r="J18" s="343"/>
      <c r="K18" s="343">
        <v>800</v>
      </c>
      <c r="L18" s="343"/>
      <c r="M18" s="344">
        <f t="shared" ref="M18:M23" si="2">SUM(B18:L18)</f>
        <v>2400</v>
      </c>
      <c r="N18" s="343"/>
      <c r="O18" s="343"/>
      <c r="P18" s="343"/>
      <c r="Q18" s="343"/>
      <c r="R18" s="345">
        <f>SUM(N18:Q18)</f>
        <v>0</v>
      </c>
    </row>
    <row r="19" spans="1:18" s="81" customFormat="1" ht="28.8" outlineLevel="2" x14ac:dyDescent="0.3">
      <c r="A19" s="346" t="s">
        <v>663</v>
      </c>
      <c r="B19" s="298"/>
      <c r="C19" s="298">
        <v>600</v>
      </c>
      <c r="D19" s="298">
        <v>200</v>
      </c>
      <c r="E19" s="298"/>
      <c r="F19" s="298"/>
      <c r="G19" s="298"/>
      <c r="H19" s="298"/>
      <c r="I19" s="298"/>
      <c r="J19" s="298"/>
      <c r="K19" s="298">
        <v>100</v>
      </c>
      <c r="L19" s="298">
        <v>500</v>
      </c>
      <c r="M19" s="298">
        <f t="shared" si="2"/>
        <v>1400</v>
      </c>
      <c r="N19" s="298"/>
      <c r="O19" s="298"/>
      <c r="P19" s="298"/>
      <c r="Q19" s="298"/>
      <c r="R19" s="347">
        <f>SUM(N19:Q19)</f>
        <v>0</v>
      </c>
    </row>
    <row r="20" spans="1:18" s="81" customFormat="1" ht="28.8" outlineLevel="2" x14ac:dyDescent="0.3">
      <c r="A20" s="346" t="s">
        <v>1387</v>
      </c>
      <c r="B20" s="298"/>
      <c r="C20" s="298"/>
      <c r="D20" s="298">
        <v>200</v>
      </c>
      <c r="E20" s="298">
        <v>300</v>
      </c>
      <c r="F20" s="298">
        <v>100</v>
      </c>
      <c r="G20" s="298">
        <v>100</v>
      </c>
      <c r="H20" s="298">
        <v>200</v>
      </c>
      <c r="I20" s="298">
        <v>200</v>
      </c>
      <c r="J20" s="298">
        <v>0</v>
      </c>
      <c r="K20" s="298">
        <v>2000</v>
      </c>
      <c r="L20" s="298">
        <v>4000</v>
      </c>
      <c r="M20" s="298">
        <f t="shared" si="2"/>
        <v>7100</v>
      </c>
      <c r="N20" s="298"/>
      <c r="O20" s="298">
        <v>250</v>
      </c>
      <c r="P20" s="298"/>
      <c r="Q20" s="298"/>
      <c r="R20" s="347">
        <f>SUM(N20:Q20)</f>
        <v>250</v>
      </c>
    </row>
    <row r="21" spans="1:18" s="81" customFormat="1" outlineLevel="2" x14ac:dyDescent="0.3">
      <c r="A21" s="348"/>
      <c r="B21" s="287"/>
      <c r="C21" s="287"/>
      <c r="D21" s="287"/>
      <c r="E21" s="287"/>
      <c r="F21" s="287"/>
      <c r="G21" s="287"/>
      <c r="H21" s="287"/>
      <c r="I21" s="287"/>
      <c r="J21" s="287"/>
      <c r="K21" s="287"/>
      <c r="L21" s="287"/>
      <c r="M21" s="298">
        <f t="shared" si="2"/>
        <v>0</v>
      </c>
      <c r="N21" s="287"/>
      <c r="O21" s="287"/>
      <c r="P21" s="287"/>
      <c r="Q21" s="287"/>
      <c r="R21" s="349">
        <f>SUM(N21:Q21)</f>
        <v>0</v>
      </c>
    </row>
    <row r="22" spans="1:18" s="81" customFormat="1" ht="15" outlineLevel="2" thickBot="1" x14ac:dyDescent="0.35">
      <c r="A22" s="348" t="s">
        <v>659</v>
      </c>
      <c r="B22" s="287"/>
      <c r="C22" s="287">
        <v>300</v>
      </c>
      <c r="D22" s="287"/>
      <c r="E22" s="287">
        <v>200</v>
      </c>
      <c r="F22" s="287">
        <v>100</v>
      </c>
      <c r="G22" s="287">
        <v>50</v>
      </c>
      <c r="H22" s="287"/>
      <c r="I22" s="287">
        <v>50</v>
      </c>
      <c r="J22" s="287">
        <v>25</v>
      </c>
      <c r="K22" s="287">
        <v>100</v>
      </c>
      <c r="L22" s="287">
        <v>500</v>
      </c>
      <c r="M22" s="297">
        <f t="shared" si="2"/>
        <v>1325</v>
      </c>
      <c r="N22" s="287"/>
      <c r="O22" s="287"/>
      <c r="P22" s="287"/>
      <c r="Q22" s="287"/>
      <c r="R22" s="349">
        <f>SUM(N22:Q22)</f>
        <v>0</v>
      </c>
    </row>
    <row r="23" spans="1:18" ht="15" outlineLevel="1" thickBot="1" x14ac:dyDescent="0.35">
      <c r="A23" s="52" t="s">
        <v>660</v>
      </c>
      <c r="B23" s="53">
        <f t="shared" ref="B23:L23" si="3">SUBTOTAL(9,B18:B22)</f>
        <v>0</v>
      </c>
      <c r="C23" s="54">
        <f t="shared" si="3"/>
        <v>900</v>
      </c>
      <c r="D23" s="54">
        <f t="shared" si="3"/>
        <v>1200</v>
      </c>
      <c r="E23" s="54">
        <f t="shared" si="3"/>
        <v>500</v>
      </c>
      <c r="F23" s="54">
        <f t="shared" si="3"/>
        <v>300</v>
      </c>
      <c r="G23" s="54">
        <f t="shared" si="3"/>
        <v>250</v>
      </c>
      <c r="H23" s="54">
        <f t="shared" si="3"/>
        <v>800</v>
      </c>
      <c r="I23" s="54">
        <f t="shared" si="3"/>
        <v>250</v>
      </c>
      <c r="J23" s="54">
        <f t="shared" si="3"/>
        <v>25</v>
      </c>
      <c r="K23" s="54">
        <f t="shared" si="3"/>
        <v>3000</v>
      </c>
      <c r="L23" s="54">
        <f t="shared" si="3"/>
        <v>5000</v>
      </c>
      <c r="M23" s="54">
        <f t="shared" si="2"/>
        <v>12225</v>
      </c>
      <c r="N23" s="55">
        <f>SUBTOTAL(9,N18:N22)</f>
        <v>0</v>
      </c>
      <c r="O23" s="55">
        <f>SUBTOTAL(9,O18:O22)</f>
        <v>250</v>
      </c>
      <c r="P23" s="55">
        <f>SUBTOTAL(9,P18:P22)</f>
        <v>0</v>
      </c>
      <c r="Q23" s="55">
        <f>SUBTOTAL(9,Q18:Q22)</f>
        <v>0</v>
      </c>
      <c r="R23" s="56">
        <f>SUBTOTAL(9,R18:R22)</f>
        <v>250</v>
      </c>
    </row>
    <row r="24" spans="1:18" outlineLevel="1" x14ac:dyDescent="0.3">
      <c r="A24" s="34"/>
      <c r="B24" s="57"/>
      <c r="C24" s="57"/>
      <c r="D24" s="57"/>
      <c r="E24" s="57"/>
      <c r="F24" s="57"/>
      <c r="G24" s="57"/>
      <c r="H24" s="57"/>
      <c r="I24" s="57"/>
      <c r="J24" s="57"/>
      <c r="K24" s="57"/>
      <c r="L24" s="57"/>
      <c r="M24" s="57"/>
      <c r="N24" s="57"/>
      <c r="O24" s="57"/>
      <c r="P24" s="57"/>
      <c r="Q24" s="57"/>
      <c r="R24" s="58"/>
    </row>
    <row r="25" spans="1:18" ht="15" outlineLevel="1" thickBot="1" x14ac:dyDescent="0.35">
      <c r="A25" s="45" t="s">
        <v>664</v>
      </c>
      <c r="B25" s="49"/>
      <c r="C25" s="49"/>
      <c r="D25" s="49"/>
      <c r="E25" s="49"/>
      <c r="F25" s="49"/>
      <c r="G25" s="49"/>
      <c r="H25" s="49"/>
      <c r="I25" s="49"/>
      <c r="J25" s="49"/>
      <c r="K25" s="49"/>
      <c r="L25" s="49"/>
      <c r="M25" s="49"/>
      <c r="N25" s="50"/>
      <c r="O25" s="50"/>
      <c r="P25" s="50"/>
      <c r="Q25" s="50"/>
      <c r="R25" s="51"/>
    </row>
    <row r="26" spans="1:18" s="81" customFormat="1" outlineLevel="2" x14ac:dyDescent="0.3">
      <c r="A26" s="973" t="s">
        <v>665</v>
      </c>
      <c r="B26" s="978">
        <v>1250</v>
      </c>
      <c r="C26" s="978">
        <v>2870</v>
      </c>
      <c r="D26" s="978">
        <v>3000</v>
      </c>
      <c r="E26" s="978">
        <v>500</v>
      </c>
      <c r="F26" s="978">
        <v>1848</v>
      </c>
      <c r="G26" s="351"/>
      <c r="H26" s="978">
        <v>2271</v>
      </c>
      <c r="I26" s="978">
        <v>356</v>
      </c>
      <c r="J26" s="986"/>
      <c r="K26" s="978">
        <v>240</v>
      </c>
      <c r="L26" s="986"/>
      <c r="M26" s="344">
        <f>SUM(B26:L26)</f>
        <v>12335</v>
      </c>
      <c r="N26" s="978">
        <v>250</v>
      </c>
      <c r="O26" s="986"/>
      <c r="P26" s="986"/>
      <c r="Q26" s="978">
        <v>9176.25</v>
      </c>
      <c r="R26" s="345">
        <f>SUM(N26:Q26)</f>
        <v>9426.25</v>
      </c>
    </row>
    <row r="27" spans="1:18" s="81" customFormat="1" ht="28.8" outlineLevel="2" x14ac:dyDescent="0.3">
      <c r="A27" s="974" t="s">
        <v>1345</v>
      </c>
      <c r="B27" s="979">
        <v>660</v>
      </c>
      <c r="C27" s="971"/>
      <c r="D27" s="971"/>
      <c r="E27" s="971"/>
      <c r="F27" s="971"/>
      <c r="G27" s="971"/>
      <c r="H27" s="987"/>
      <c r="I27" s="987"/>
      <c r="J27" s="987"/>
      <c r="K27" s="987"/>
      <c r="L27" s="987"/>
      <c r="M27" s="252">
        <f t="shared" ref="M27:M34" si="4">SUM(B27:K27)</f>
        <v>660</v>
      </c>
      <c r="N27" s="971"/>
      <c r="O27" s="971"/>
      <c r="P27" s="971"/>
      <c r="Q27" s="971"/>
      <c r="R27" s="972"/>
    </row>
    <row r="28" spans="1:18" s="81" customFormat="1" ht="28.8" outlineLevel="2" x14ac:dyDescent="0.3">
      <c r="A28" s="974" t="s">
        <v>1346</v>
      </c>
      <c r="B28" s="979">
        <v>660</v>
      </c>
      <c r="C28" s="971"/>
      <c r="D28" s="971"/>
      <c r="E28" s="971"/>
      <c r="F28" s="971"/>
      <c r="G28" s="971"/>
      <c r="H28" s="987"/>
      <c r="I28" s="987"/>
      <c r="J28" s="987"/>
      <c r="K28" s="987"/>
      <c r="L28" s="987"/>
      <c r="M28" s="252">
        <f t="shared" si="4"/>
        <v>660</v>
      </c>
      <c r="N28" s="971"/>
      <c r="O28" s="971"/>
      <c r="P28" s="971"/>
      <c r="Q28" s="971"/>
      <c r="R28" s="972"/>
    </row>
    <row r="29" spans="1:18" s="81" customFormat="1" ht="43.2" outlineLevel="2" x14ac:dyDescent="0.3">
      <c r="A29" s="975" t="s">
        <v>1347</v>
      </c>
      <c r="B29" s="980">
        <v>440</v>
      </c>
      <c r="C29" s="971"/>
      <c r="D29" s="971"/>
      <c r="E29" s="971"/>
      <c r="F29" s="971"/>
      <c r="G29" s="971"/>
      <c r="H29" s="981"/>
      <c r="I29" s="981"/>
      <c r="J29" s="981"/>
      <c r="K29" s="981"/>
      <c r="L29" s="981"/>
      <c r="M29" s="252">
        <f t="shared" si="4"/>
        <v>440</v>
      </c>
      <c r="N29" s="971"/>
      <c r="O29" s="971"/>
      <c r="P29" s="971"/>
      <c r="Q29" s="971"/>
      <c r="R29" s="972"/>
    </row>
    <row r="30" spans="1:18" s="81" customFormat="1" ht="43.2" outlineLevel="2" x14ac:dyDescent="0.3">
      <c r="A30" s="975" t="s">
        <v>1348</v>
      </c>
      <c r="B30" s="980">
        <v>440</v>
      </c>
      <c r="C30" s="971"/>
      <c r="D30" s="971"/>
      <c r="E30" s="971"/>
      <c r="F30" s="971"/>
      <c r="G30" s="971"/>
      <c r="H30" s="981"/>
      <c r="I30" s="981"/>
      <c r="J30" s="981"/>
      <c r="K30" s="981"/>
      <c r="L30" s="981"/>
      <c r="M30" s="252">
        <f t="shared" si="4"/>
        <v>440</v>
      </c>
      <c r="N30" s="971"/>
      <c r="O30" s="971"/>
      <c r="P30" s="971"/>
      <c r="Q30" s="971"/>
      <c r="R30" s="972"/>
    </row>
    <row r="31" spans="1:18" s="81" customFormat="1" ht="28.8" outlineLevel="2" x14ac:dyDescent="0.3">
      <c r="A31" s="975" t="s">
        <v>666</v>
      </c>
      <c r="B31" s="980">
        <v>1500</v>
      </c>
      <c r="C31" s="971"/>
      <c r="D31" s="971"/>
      <c r="E31" s="971"/>
      <c r="F31" s="971"/>
      <c r="G31" s="971"/>
      <c r="H31" s="981"/>
      <c r="I31" s="981"/>
      <c r="J31" s="981"/>
      <c r="K31" s="981"/>
      <c r="L31" s="981"/>
      <c r="M31" s="252">
        <f t="shared" si="4"/>
        <v>1500</v>
      </c>
      <c r="N31" s="971"/>
      <c r="O31" s="971"/>
      <c r="P31" s="971"/>
      <c r="Q31" s="971"/>
      <c r="R31" s="972"/>
    </row>
    <row r="32" spans="1:18" s="81" customFormat="1" outlineLevel="2" x14ac:dyDescent="0.3">
      <c r="A32" s="975" t="s">
        <v>667</v>
      </c>
      <c r="B32" s="981"/>
      <c r="C32" s="971"/>
      <c r="D32" s="971"/>
      <c r="E32" s="971"/>
      <c r="F32" s="971"/>
      <c r="G32" s="971"/>
      <c r="H32" s="981"/>
      <c r="I32" s="981"/>
      <c r="J32" s="981"/>
      <c r="K32" s="980">
        <v>2500</v>
      </c>
      <c r="L32" s="981"/>
      <c r="M32" s="252">
        <f t="shared" si="4"/>
        <v>2500</v>
      </c>
      <c r="N32" s="971"/>
      <c r="O32" s="971"/>
      <c r="P32" s="971"/>
      <c r="Q32" s="971"/>
      <c r="R32" s="972"/>
    </row>
    <row r="33" spans="1:18" s="81" customFormat="1" ht="28.8" outlineLevel="2" x14ac:dyDescent="0.3">
      <c r="A33" s="975" t="s">
        <v>1349</v>
      </c>
      <c r="B33" s="980">
        <v>750</v>
      </c>
      <c r="C33" s="971"/>
      <c r="D33" s="971"/>
      <c r="E33" s="971"/>
      <c r="F33" s="971"/>
      <c r="G33" s="971"/>
      <c r="H33" s="981"/>
      <c r="I33" s="981"/>
      <c r="J33" s="981"/>
      <c r="K33" s="981"/>
      <c r="L33" s="981"/>
      <c r="M33" s="252">
        <f t="shared" si="4"/>
        <v>750</v>
      </c>
      <c r="N33" s="971"/>
      <c r="O33" s="971"/>
      <c r="P33" s="971"/>
      <c r="Q33" s="971"/>
      <c r="R33" s="972"/>
    </row>
    <row r="34" spans="1:18" s="81" customFormat="1" outlineLevel="2" x14ac:dyDescent="0.3">
      <c r="A34" s="975" t="s">
        <v>1350</v>
      </c>
      <c r="B34" s="980">
        <v>1000</v>
      </c>
      <c r="C34" s="971"/>
      <c r="D34" s="971"/>
      <c r="E34" s="971"/>
      <c r="F34" s="971"/>
      <c r="G34" s="971"/>
      <c r="H34" s="981"/>
      <c r="I34" s="981"/>
      <c r="J34" s="981"/>
      <c r="K34" s="981"/>
      <c r="L34" s="981"/>
      <c r="M34" s="252">
        <f t="shared" si="4"/>
        <v>1000</v>
      </c>
      <c r="N34" s="971"/>
      <c r="O34" s="971"/>
      <c r="P34" s="971"/>
      <c r="Q34" s="971"/>
      <c r="R34" s="972"/>
    </row>
    <row r="35" spans="1:18" s="81" customFormat="1" outlineLevel="2" x14ac:dyDescent="0.3">
      <c r="A35" s="975" t="s">
        <v>1351</v>
      </c>
      <c r="B35" s="980">
        <v>750</v>
      </c>
      <c r="C35" s="293"/>
      <c r="D35" s="293"/>
      <c r="E35" s="293"/>
      <c r="F35" s="293"/>
      <c r="G35" s="293"/>
      <c r="H35" s="981"/>
      <c r="I35" s="981"/>
      <c r="J35" s="981"/>
      <c r="K35" s="981"/>
      <c r="L35" s="981"/>
      <c r="M35" s="298">
        <f t="shared" ref="M35:M50" si="5">SUM(B35:L35)</f>
        <v>750</v>
      </c>
      <c r="N35" s="293"/>
      <c r="O35" s="293"/>
      <c r="P35" s="293"/>
      <c r="Q35" s="293"/>
      <c r="R35" s="347">
        <f>SUM(N35:Q35)</f>
        <v>0</v>
      </c>
    </row>
    <row r="36" spans="1:18" s="81" customFormat="1" outlineLevel="2" x14ac:dyDescent="0.3">
      <c r="A36" s="975"/>
      <c r="B36" s="981"/>
      <c r="C36" s="293"/>
      <c r="D36" s="293"/>
      <c r="E36" s="293"/>
      <c r="F36" s="293"/>
      <c r="G36" s="293"/>
      <c r="H36" s="981"/>
      <c r="I36" s="981"/>
      <c r="J36" s="981"/>
      <c r="K36" s="981"/>
      <c r="L36" s="981"/>
      <c r="M36" s="298">
        <f t="shared" si="5"/>
        <v>0</v>
      </c>
      <c r="N36" s="293"/>
      <c r="O36" s="293"/>
      <c r="P36" s="293"/>
      <c r="Q36" s="293"/>
      <c r="R36" s="347">
        <f>SUM(N36:Q36)</f>
        <v>0</v>
      </c>
    </row>
    <row r="37" spans="1:18" s="81" customFormat="1" ht="43.2" outlineLevel="2" x14ac:dyDescent="0.3">
      <c r="A37" s="975" t="s">
        <v>1352</v>
      </c>
      <c r="B37" s="981"/>
      <c r="C37" s="294"/>
      <c r="D37" s="294"/>
      <c r="E37" s="294"/>
      <c r="F37" s="294"/>
      <c r="G37" s="294"/>
      <c r="H37" s="980">
        <v>9420</v>
      </c>
      <c r="I37" s="981"/>
      <c r="J37" s="981"/>
      <c r="K37" s="980">
        <v>2000</v>
      </c>
      <c r="L37" s="981"/>
      <c r="M37" s="298">
        <f t="shared" si="5"/>
        <v>11420</v>
      </c>
      <c r="N37" s="980">
        <v>2250</v>
      </c>
      <c r="O37" s="981"/>
      <c r="P37" s="981"/>
      <c r="Q37" s="981"/>
      <c r="R37" s="988">
        <v>2250</v>
      </c>
    </row>
    <row r="38" spans="1:18" s="81" customFormat="1" outlineLevel="2" x14ac:dyDescent="0.3">
      <c r="A38" s="975" t="s">
        <v>668</v>
      </c>
      <c r="B38" s="981"/>
      <c r="C38" s="980">
        <v>300</v>
      </c>
      <c r="D38" s="981"/>
      <c r="E38" s="294"/>
      <c r="F38" s="294"/>
      <c r="G38" s="294"/>
      <c r="H38" s="981"/>
      <c r="I38" s="981"/>
      <c r="J38" s="981"/>
      <c r="K38" s="981"/>
      <c r="L38" s="981"/>
      <c r="M38" s="298">
        <f t="shared" si="5"/>
        <v>300</v>
      </c>
      <c r="N38" s="294"/>
      <c r="O38" s="294"/>
      <c r="P38" s="294"/>
      <c r="Q38" s="294"/>
      <c r="R38" s="349"/>
    </row>
    <row r="39" spans="1:18" s="81" customFormat="1" outlineLevel="2" x14ac:dyDescent="0.3">
      <c r="A39" s="975" t="s">
        <v>669</v>
      </c>
      <c r="B39" s="980">
        <v>440</v>
      </c>
      <c r="C39" s="981"/>
      <c r="D39" s="981"/>
      <c r="E39" s="294"/>
      <c r="F39" s="294"/>
      <c r="G39" s="294"/>
      <c r="H39" s="981"/>
      <c r="I39" s="981"/>
      <c r="J39" s="981"/>
      <c r="K39" s="981"/>
      <c r="L39" s="981"/>
      <c r="M39" s="298">
        <f t="shared" si="5"/>
        <v>440</v>
      </c>
      <c r="N39" s="294"/>
      <c r="O39" s="294"/>
      <c r="P39" s="294"/>
      <c r="Q39" s="294"/>
      <c r="R39" s="349"/>
    </row>
    <row r="40" spans="1:18" s="81" customFormat="1" outlineLevel="2" x14ac:dyDescent="0.3">
      <c r="A40" s="975" t="s">
        <v>670</v>
      </c>
      <c r="B40" s="981"/>
      <c r="C40" s="981"/>
      <c r="D40" s="981"/>
      <c r="E40" s="294"/>
      <c r="F40" s="294"/>
      <c r="G40" s="294"/>
      <c r="H40" s="981"/>
      <c r="I40" s="981"/>
      <c r="J40" s="981"/>
      <c r="K40" s="980">
        <v>1500</v>
      </c>
      <c r="L40" s="981"/>
      <c r="M40" s="298">
        <f t="shared" si="5"/>
        <v>1500</v>
      </c>
      <c r="N40" s="294"/>
      <c r="O40" s="294"/>
      <c r="P40" s="294"/>
      <c r="Q40" s="294"/>
      <c r="R40" s="349"/>
    </row>
    <row r="41" spans="1:18" s="81" customFormat="1" ht="28.8" outlineLevel="2" x14ac:dyDescent="0.3">
      <c r="A41" s="975" t="s">
        <v>671</v>
      </c>
      <c r="B41" s="981"/>
      <c r="C41" s="981"/>
      <c r="D41" s="980">
        <v>700</v>
      </c>
      <c r="E41" s="294"/>
      <c r="F41" s="294"/>
      <c r="G41" s="294"/>
      <c r="H41" s="980">
        <v>800</v>
      </c>
      <c r="I41" s="981"/>
      <c r="J41" s="981"/>
      <c r="K41" s="980">
        <v>300</v>
      </c>
      <c r="L41" s="981"/>
      <c r="M41" s="298">
        <f t="shared" si="5"/>
        <v>1800</v>
      </c>
      <c r="N41" s="294"/>
      <c r="O41" s="294"/>
      <c r="P41" s="294"/>
      <c r="Q41" s="294"/>
      <c r="R41" s="349"/>
    </row>
    <row r="42" spans="1:18" s="81" customFormat="1" outlineLevel="2" x14ac:dyDescent="0.3">
      <c r="A42" s="975" t="s">
        <v>672</v>
      </c>
      <c r="B42" s="981"/>
      <c r="C42" s="981"/>
      <c r="D42" s="980">
        <v>500</v>
      </c>
      <c r="E42" s="294"/>
      <c r="F42" s="294"/>
      <c r="G42" s="294"/>
      <c r="H42" s="980">
        <v>700</v>
      </c>
      <c r="I42" s="981"/>
      <c r="J42" s="981"/>
      <c r="K42" s="980">
        <v>300</v>
      </c>
      <c r="L42" s="981"/>
      <c r="M42" s="298">
        <f t="shared" si="5"/>
        <v>1500</v>
      </c>
      <c r="N42" s="294"/>
      <c r="O42" s="294"/>
      <c r="P42" s="294"/>
      <c r="Q42" s="294"/>
      <c r="R42" s="349"/>
    </row>
    <row r="43" spans="1:18" s="81" customFormat="1" outlineLevel="2" x14ac:dyDescent="0.3">
      <c r="A43" s="975" t="s">
        <v>673</v>
      </c>
      <c r="B43" s="981"/>
      <c r="C43" s="981"/>
      <c r="D43" s="980">
        <v>500</v>
      </c>
      <c r="E43" s="294"/>
      <c r="F43" s="294"/>
      <c r="G43" s="294"/>
      <c r="H43" s="980">
        <v>500</v>
      </c>
      <c r="I43" s="981"/>
      <c r="J43" s="981"/>
      <c r="K43" s="981"/>
      <c r="L43" s="981"/>
      <c r="M43" s="298">
        <f t="shared" si="5"/>
        <v>1000</v>
      </c>
      <c r="N43" s="287"/>
      <c r="O43" s="287"/>
      <c r="P43" s="287"/>
      <c r="Q43" s="287"/>
      <c r="R43" s="349"/>
    </row>
    <row r="44" spans="1:18" s="81" customFormat="1" outlineLevel="2" x14ac:dyDescent="0.3">
      <c r="A44" s="975"/>
      <c r="B44" s="981"/>
      <c r="C44" s="981"/>
      <c r="D44" s="981"/>
      <c r="E44" s="294"/>
      <c r="F44" s="294"/>
      <c r="G44" s="294"/>
      <c r="H44" s="981"/>
      <c r="I44" s="981"/>
      <c r="J44" s="981"/>
      <c r="K44" s="981"/>
      <c r="L44" s="981"/>
      <c r="M44" s="298">
        <f t="shared" si="5"/>
        <v>0</v>
      </c>
      <c r="N44" s="287"/>
      <c r="O44" s="287"/>
      <c r="P44" s="287"/>
      <c r="Q44" s="287"/>
      <c r="R44" s="349"/>
    </row>
    <row r="45" spans="1:18" s="81" customFormat="1" ht="43.2" outlineLevel="2" x14ac:dyDescent="0.3">
      <c r="A45" s="976" t="s">
        <v>1353</v>
      </c>
      <c r="B45" s="982"/>
      <c r="C45" s="983"/>
      <c r="D45" s="983"/>
      <c r="E45" s="294"/>
      <c r="F45" s="294"/>
      <c r="G45" s="294"/>
      <c r="H45" s="983"/>
      <c r="I45" s="983"/>
      <c r="J45" s="983"/>
      <c r="K45" s="983"/>
      <c r="L45" s="984"/>
      <c r="M45" s="298">
        <f t="shared" si="5"/>
        <v>0</v>
      </c>
      <c r="N45" s="287"/>
      <c r="O45" s="287"/>
      <c r="P45" s="287"/>
      <c r="Q45" s="287"/>
      <c r="R45" s="349"/>
    </row>
    <row r="46" spans="1:18" s="81" customFormat="1" outlineLevel="2" x14ac:dyDescent="0.3">
      <c r="A46" s="976"/>
      <c r="B46" s="982"/>
      <c r="C46" s="983"/>
      <c r="D46" s="983"/>
      <c r="E46" s="294"/>
      <c r="F46" s="294"/>
      <c r="G46" s="294"/>
      <c r="H46" s="983"/>
      <c r="I46" s="983"/>
      <c r="J46" s="983"/>
      <c r="K46" s="983"/>
      <c r="L46" s="983"/>
      <c r="M46" s="298">
        <f t="shared" si="5"/>
        <v>0</v>
      </c>
      <c r="N46" s="287"/>
      <c r="O46" s="287"/>
      <c r="P46" s="287"/>
      <c r="Q46" s="287"/>
      <c r="R46" s="349"/>
    </row>
    <row r="47" spans="1:18" s="81" customFormat="1" ht="28.8" outlineLevel="2" x14ac:dyDescent="0.3">
      <c r="A47" s="976" t="s">
        <v>1354</v>
      </c>
      <c r="B47" s="982"/>
      <c r="C47" s="983"/>
      <c r="D47" s="983"/>
      <c r="E47" s="294"/>
      <c r="F47" s="294"/>
      <c r="G47" s="294"/>
      <c r="H47" s="983"/>
      <c r="I47" s="983"/>
      <c r="J47" s="983"/>
      <c r="K47" s="984">
        <v>3000</v>
      </c>
      <c r="L47" s="983"/>
      <c r="M47" s="298">
        <f t="shared" si="5"/>
        <v>3000</v>
      </c>
      <c r="N47" s="287"/>
      <c r="O47" s="287"/>
      <c r="P47" s="287"/>
      <c r="Q47" s="287"/>
      <c r="R47" s="349"/>
    </row>
    <row r="48" spans="1:18" s="81" customFormat="1" outlineLevel="2" x14ac:dyDescent="0.3">
      <c r="A48" s="976" t="s">
        <v>1355</v>
      </c>
      <c r="B48" s="982"/>
      <c r="C48" s="983"/>
      <c r="D48" s="985">
        <v>500</v>
      </c>
      <c r="E48" s="287"/>
      <c r="F48" s="287"/>
      <c r="G48" s="287"/>
      <c r="H48" s="983"/>
      <c r="I48" s="983"/>
      <c r="J48" s="983"/>
      <c r="K48" s="984">
        <v>150</v>
      </c>
      <c r="L48" s="983"/>
      <c r="M48" s="298">
        <f t="shared" si="5"/>
        <v>650</v>
      </c>
      <c r="N48" s="287"/>
      <c r="O48" s="287"/>
      <c r="P48" s="287"/>
      <c r="Q48" s="287"/>
      <c r="R48" s="349"/>
    </row>
    <row r="49" spans="1:18" s="81" customFormat="1" outlineLevel="2" x14ac:dyDescent="0.3">
      <c r="A49" s="976"/>
      <c r="B49" s="982"/>
      <c r="C49" s="983"/>
      <c r="D49" s="984"/>
      <c r="E49" s="977"/>
      <c r="F49" s="977"/>
      <c r="G49" s="977"/>
      <c r="H49" s="983"/>
      <c r="I49" s="983"/>
      <c r="J49" s="983"/>
      <c r="K49" s="984"/>
      <c r="L49" s="983"/>
      <c r="M49" s="297">
        <f>SUM(B49:K49)</f>
        <v>0</v>
      </c>
      <c r="N49" s="977"/>
      <c r="O49" s="977"/>
      <c r="P49" s="977"/>
      <c r="Q49" s="977"/>
      <c r="R49" s="970"/>
    </row>
    <row r="50" spans="1:18" s="81" customFormat="1" ht="15" outlineLevel="2" thickBot="1" x14ac:dyDescent="0.35">
      <c r="A50" s="976" t="s">
        <v>631</v>
      </c>
      <c r="B50" s="287">
        <v>500</v>
      </c>
      <c r="C50" s="287">
        <v>1000</v>
      </c>
      <c r="D50" s="287"/>
      <c r="E50" s="287"/>
      <c r="F50" s="287"/>
      <c r="G50" s="287">
        <v>1500</v>
      </c>
      <c r="H50" s="287"/>
      <c r="I50" s="287"/>
      <c r="J50" s="287">
        <v>1500</v>
      </c>
      <c r="K50" s="287">
        <v>1000</v>
      </c>
      <c r="L50" s="287"/>
      <c r="M50" s="297">
        <f t="shared" si="5"/>
        <v>5500</v>
      </c>
      <c r="N50" s="287"/>
      <c r="O50" s="287"/>
      <c r="P50" s="287"/>
      <c r="Q50" s="287"/>
      <c r="R50" s="349">
        <f>SUM(N50:Q50)</f>
        <v>0</v>
      </c>
    </row>
    <row r="51" spans="1:18" ht="15" outlineLevel="1" thickBot="1" x14ac:dyDescent="0.35">
      <c r="A51" s="52"/>
      <c r="B51" s="54">
        <f t="shared" ref="B51:K51" si="6">SUBTOTAL(9,B26:B50)</f>
        <v>8390</v>
      </c>
      <c r="C51" s="54">
        <f t="shared" si="6"/>
        <v>4170</v>
      </c>
      <c r="D51" s="54">
        <f t="shared" si="6"/>
        <v>5200</v>
      </c>
      <c r="E51" s="54">
        <f t="shared" si="6"/>
        <v>500</v>
      </c>
      <c r="F51" s="54">
        <f t="shared" si="6"/>
        <v>1848</v>
      </c>
      <c r="G51" s="54">
        <f t="shared" si="6"/>
        <v>1500</v>
      </c>
      <c r="H51" s="54">
        <f t="shared" si="6"/>
        <v>13691</v>
      </c>
      <c r="I51" s="54">
        <f t="shared" si="6"/>
        <v>356</v>
      </c>
      <c r="J51" s="54">
        <f t="shared" si="6"/>
        <v>1500</v>
      </c>
      <c r="K51" s="54">
        <f t="shared" si="6"/>
        <v>10990</v>
      </c>
      <c r="L51" s="54">
        <f>SUBTOTAL(9,L26:L50)</f>
        <v>0</v>
      </c>
      <c r="M51" s="54">
        <f>SUM(B51:L51)</f>
        <v>48145</v>
      </c>
      <c r="N51" s="55">
        <f>SUBTOTAL(9,N26:N50)</f>
        <v>2500</v>
      </c>
      <c r="O51" s="55">
        <f>SUBTOTAL(9,O26:O50)</f>
        <v>0</v>
      </c>
      <c r="P51" s="55">
        <f>SUBTOTAL(9,P26:P50)</f>
        <v>0</v>
      </c>
      <c r="Q51" s="55">
        <f>SUBTOTAL(9,Q26:Q50)</f>
        <v>9176.25</v>
      </c>
      <c r="R51" s="56">
        <f>SUBTOTAL(9,R26:R50)</f>
        <v>11676.25</v>
      </c>
    </row>
    <row r="52" spans="1:18" outlineLevel="1" x14ac:dyDescent="0.3">
      <c r="A52" s="34"/>
      <c r="B52" s="57"/>
      <c r="C52" s="57"/>
      <c r="D52" s="57"/>
      <c r="E52" s="57"/>
      <c r="F52" s="57"/>
      <c r="G52" s="57"/>
      <c r="H52" s="57"/>
      <c r="I52" s="57"/>
      <c r="J52" s="57"/>
      <c r="K52" s="57"/>
      <c r="L52" s="57"/>
      <c r="M52" s="57"/>
      <c r="N52" s="57"/>
      <c r="O52" s="57"/>
      <c r="P52" s="57"/>
      <c r="Q52" s="57"/>
      <c r="R52" s="58"/>
    </row>
    <row r="53" spans="1:18" ht="15" outlineLevel="1" thickBot="1" x14ac:dyDescent="0.35">
      <c r="A53" s="45" t="s">
        <v>674</v>
      </c>
      <c r="B53" s="49"/>
      <c r="C53" s="49"/>
      <c r="D53" s="49"/>
      <c r="E53" s="49"/>
      <c r="F53" s="49"/>
      <c r="G53" s="49"/>
      <c r="H53" s="49"/>
      <c r="I53" s="49"/>
      <c r="J53" s="49"/>
      <c r="K53" s="49"/>
      <c r="L53" s="49"/>
      <c r="M53" s="49"/>
      <c r="N53" s="50"/>
      <c r="O53" s="50"/>
      <c r="P53" s="50"/>
      <c r="Q53" s="50"/>
      <c r="R53" s="51"/>
    </row>
    <row r="54" spans="1:18" s="81" customFormat="1" ht="43.2" outlineLevel="2" x14ac:dyDescent="0.3">
      <c r="A54" s="992" t="s">
        <v>1359</v>
      </c>
      <c r="B54" s="343"/>
      <c r="C54" s="343">
        <v>2000</v>
      </c>
      <c r="D54" s="343">
        <v>300</v>
      </c>
      <c r="E54" s="343">
        <v>400</v>
      </c>
      <c r="F54" s="343"/>
      <c r="G54" s="343">
        <v>50</v>
      </c>
      <c r="H54" s="343">
        <v>200</v>
      </c>
      <c r="I54" s="343">
        <v>200</v>
      </c>
      <c r="J54" s="343"/>
      <c r="K54" s="343"/>
      <c r="L54" s="343">
        <v>1500</v>
      </c>
      <c r="M54" s="343">
        <f t="shared" ref="M54:M59" si="7">SUM(B54:L54)</f>
        <v>4650</v>
      </c>
      <c r="N54" s="343"/>
      <c r="O54" s="343"/>
      <c r="P54" s="343"/>
      <c r="Q54" s="343"/>
      <c r="R54" s="345">
        <f>SUM(N54:Q54)</f>
        <v>0</v>
      </c>
    </row>
    <row r="55" spans="1:18" s="81" customFormat="1" outlineLevel="2" x14ac:dyDescent="0.3">
      <c r="A55" s="992"/>
      <c r="B55" s="298"/>
      <c r="C55" s="298"/>
      <c r="D55" s="298"/>
      <c r="E55" s="298"/>
      <c r="F55" s="298"/>
      <c r="G55" s="298"/>
      <c r="H55" s="298"/>
      <c r="I55" s="298"/>
      <c r="J55" s="298"/>
      <c r="K55" s="298"/>
      <c r="L55" s="298">
        <v>500</v>
      </c>
      <c r="M55" s="298">
        <f t="shared" si="7"/>
        <v>500</v>
      </c>
      <c r="N55" s="298"/>
      <c r="O55" s="298"/>
      <c r="P55" s="298"/>
      <c r="Q55" s="298"/>
      <c r="R55" s="347">
        <f>SUM(N55:Q55)</f>
        <v>0</v>
      </c>
    </row>
    <row r="56" spans="1:18" s="81" customFormat="1" outlineLevel="2" x14ac:dyDescent="0.3">
      <c r="A56" s="346"/>
      <c r="B56" s="298"/>
      <c r="C56" s="298"/>
      <c r="D56" s="298"/>
      <c r="E56" s="298"/>
      <c r="F56" s="298"/>
      <c r="G56" s="298"/>
      <c r="H56" s="298"/>
      <c r="I56" s="298"/>
      <c r="J56" s="298"/>
      <c r="K56" s="298"/>
      <c r="L56" s="298"/>
      <c r="M56" s="298">
        <f t="shared" si="7"/>
        <v>0</v>
      </c>
      <c r="N56" s="298"/>
      <c r="O56" s="298"/>
      <c r="P56" s="298"/>
      <c r="Q56" s="298"/>
      <c r="R56" s="347">
        <f>SUM(N56:Q56)</f>
        <v>0</v>
      </c>
    </row>
    <row r="57" spans="1:18" s="81" customFormat="1" outlineLevel="2" x14ac:dyDescent="0.3">
      <c r="A57" s="348"/>
      <c r="B57" s="287"/>
      <c r="C57" s="287"/>
      <c r="D57" s="287"/>
      <c r="E57" s="287"/>
      <c r="F57" s="287"/>
      <c r="G57" s="287"/>
      <c r="H57" s="287"/>
      <c r="I57" s="287"/>
      <c r="J57" s="287"/>
      <c r="K57" s="287"/>
      <c r="L57" s="287"/>
      <c r="M57" s="298">
        <f t="shared" si="7"/>
        <v>0</v>
      </c>
      <c r="N57" s="287"/>
      <c r="O57" s="287"/>
      <c r="P57" s="287"/>
      <c r="Q57" s="287"/>
      <c r="R57" s="349">
        <f>SUM(N57:Q57)</f>
        <v>0</v>
      </c>
    </row>
    <row r="58" spans="1:18" s="81" customFormat="1" ht="15" outlineLevel="2" thickBot="1" x14ac:dyDescent="0.35">
      <c r="A58" s="348" t="s">
        <v>631</v>
      </c>
      <c r="B58" s="287"/>
      <c r="C58" s="287"/>
      <c r="D58" s="287">
        <v>200</v>
      </c>
      <c r="E58" s="287"/>
      <c r="F58" s="287">
        <v>100</v>
      </c>
      <c r="G58" s="287">
        <v>100</v>
      </c>
      <c r="H58" s="287">
        <v>100</v>
      </c>
      <c r="I58" s="287">
        <v>100</v>
      </c>
      <c r="J58" s="287"/>
      <c r="K58" s="287">
        <v>200</v>
      </c>
      <c r="L58" s="287">
        <v>200</v>
      </c>
      <c r="M58" s="298">
        <f t="shared" si="7"/>
        <v>1000</v>
      </c>
      <c r="N58" s="287"/>
      <c r="O58" s="287"/>
      <c r="P58" s="287"/>
      <c r="Q58" s="287"/>
      <c r="R58" s="349">
        <f>SUM(N58:Q58)</f>
        <v>0</v>
      </c>
    </row>
    <row r="59" spans="1:18" ht="15" outlineLevel="1" thickBot="1" x14ac:dyDescent="0.35">
      <c r="A59" s="52"/>
      <c r="B59" s="53"/>
      <c r="C59" s="54"/>
      <c r="D59" s="54"/>
      <c r="E59" s="54"/>
      <c r="F59" s="54"/>
      <c r="G59" s="54"/>
      <c r="H59" s="54"/>
      <c r="I59" s="54"/>
      <c r="J59" s="54"/>
      <c r="K59" s="54"/>
      <c r="L59" s="54">
        <f>SUBTOTAL(9,L54:L58)</f>
        <v>2200</v>
      </c>
      <c r="M59" s="54">
        <f t="shared" si="7"/>
        <v>2200</v>
      </c>
      <c r="N59" s="55">
        <f>SUBTOTAL(9,N54:N58)</f>
        <v>0</v>
      </c>
      <c r="O59" s="55">
        <f>SUBTOTAL(9,O54:O58)</f>
        <v>0</v>
      </c>
      <c r="P59" s="55">
        <f>SUBTOTAL(9,P54:P58)</f>
        <v>0</v>
      </c>
      <c r="Q59" s="55">
        <f>SUBTOTAL(9,Q54:Q58)</f>
        <v>0</v>
      </c>
      <c r="R59" s="56">
        <f>SUBTOTAL(9,R54:R58)</f>
        <v>0</v>
      </c>
    </row>
    <row r="60" spans="1:18" outlineLevel="1" x14ac:dyDescent="0.3">
      <c r="A60" s="34"/>
      <c r="B60" s="57"/>
      <c r="C60" s="57"/>
      <c r="D60" s="57"/>
      <c r="E60" s="57"/>
      <c r="F60" s="57"/>
      <c r="G60" s="57"/>
      <c r="H60" s="57"/>
      <c r="I60" s="57"/>
      <c r="J60" s="57"/>
      <c r="K60" s="57"/>
      <c r="L60" s="57"/>
      <c r="M60" s="57"/>
      <c r="N60" s="57"/>
      <c r="O60" s="57"/>
      <c r="P60" s="57"/>
      <c r="Q60" s="57"/>
      <c r="R60" s="58"/>
    </row>
    <row r="61" spans="1:18" ht="15" outlineLevel="1" thickBot="1" x14ac:dyDescent="0.35">
      <c r="A61" s="45" t="s">
        <v>1360</v>
      </c>
      <c r="B61" s="49"/>
      <c r="C61" s="49"/>
      <c r="D61" s="49"/>
      <c r="E61" s="49"/>
      <c r="F61" s="49"/>
      <c r="G61" s="49"/>
      <c r="H61" s="49"/>
      <c r="I61" s="49"/>
      <c r="J61" s="49"/>
      <c r="K61" s="49"/>
      <c r="L61" s="49"/>
      <c r="M61" s="49"/>
      <c r="N61" s="50"/>
      <c r="O61" s="50"/>
      <c r="P61" s="50"/>
      <c r="Q61" s="50"/>
      <c r="R61" s="51"/>
    </row>
    <row r="62" spans="1:18" s="81" customFormat="1" outlineLevel="2" x14ac:dyDescent="0.3">
      <c r="A62" s="342"/>
      <c r="B62" s="343"/>
      <c r="C62" s="343"/>
      <c r="D62" s="343"/>
      <c r="E62" s="343"/>
      <c r="F62" s="343"/>
      <c r="G62" s="343"/>
      <c r="H62" s="343"/>
      <c r="I62" s="343"/>
      <c r="J62" s="343"/>
      <c r="K62" s="343"/>
      <c r="L62" s="343"/>
      <c r="M62" s="343">
        <f>SUM(B62:L62)</f>
        <v>0</v>
      </c>
      <c r="N62" s="343"/>
      <c r="O62" s="343"/>
      <c r="P62" s="343"/>
      <c r="Q62" s="343"/>
      <c r="R62" s="345">
        <f>SUM(N62:Q62)</f>
        <v>0</v>
      </c>
    </row>
    <row r="63" spans="1:18" s="81" customFormat="1" ht="15" outlineLevel="2" thickBot="1" x14ac:dyDescent="0.35">
      <c r="A63" s="348" t="s">
        <v>659</v>
      </c>
      <c r="B63" s="287"/>
      <c r="C63" s="287">
        <v>1200</v>
      </c>
      <c r="D63" s="287">
        <v>200</v>
      </c>
      <c r="E63" s="287"/>
      <c r="F63" s="287"/>
      <c r="G63" s="287"/>
      <c r="H63" s="287">
        <v>100</v>
      </c>
      <c r="I63" s="287"/>
      <c r="J63" s="287"/>
      <c r="K63" s="287">
        <v>500</v>
      </c>
      <c r="L63" s="287"/>
      <c r="M63" s="298">
        <f>SUM(B63:L63)</f>
        <v>2000</v>
      </c>
      <c r="N63" s="287"/>
      <c r="O63" s="287"/>
      <c r="P63" s="287"/>
      <c r="Q63" s="287"/>
      <c r="R63" s="349">
        <f>SUM(N63:Q63)</f>
        <v>0</v>
      </c>
    </row>
    <row r="64" spans="1:18" ht="15" outlineLevel="1" thickBot="1" x14ac:dyDescent="0.35">
      <c r="A64" s="52" t="s">
        <v>660</v>
      </c>
      <c r="B64" s="53">
        <f t="shared" ref="B64:L64" si="8">SUBTOTAL(9,B62:B63)</f>
        <v>0</v>
      </c>
      <c r="C64" s="54">
        <f t="shared" si="8"/>
        <v>1200</v>
      </c>
      <c r="D64" s="54">
        <f t="shared" si="8"/>
        <v>200</v>
      </c>
      <c r="E64" s="54">
        <f t="shared" si="8"/>
        <v>0</v>
      </c>
      <c r="F64" s="54">
        <f t="shared" si="8"/>
        <v>0</v>
      </c>
      <c r="G64" s="54">
        <f t="shared" si="8"/>
        <v>0</v>
      </c>
      <c r="H64" s="54">
        <f t="shared" si="8"/>
        <v>100</v>
      </c>
      <c r="I64" s="54">
        <f t="shared" si="8"/>
        <v>0</v>
      </c>
      <c r="J64" s="54">
        <f t="shared" si="8"/>
        <v>0</v>
      </c>
      <c r="K64" s="54">
        <f t="shared" si="8"/>
        <v>500</v>
      </c>
      <c r="L64" s="54">
        <f t="shared" si="8"/>
        <v>0</v>
      </c>
      <c r="M64" s="54">
        <f>SUM(B64:L64)</f>
        <v>2000</v>
      </c>
      <c r="N64" s="55">
        <f>SUBTOTAL(9,N62:N63)</f>
        <v>0</v>
      </c>
      <c r="O64" s="55">
        <f>SUBTOTAL(9,O62:O63)</f>
        <v>0</v>
      </c>
      <c r="P64" s="55">
        <f>SUBTOTAL(9,P62:P63)</f>
        <v>0</v>
      </c>
      <c r="Q64" s="55">
        <f>SUBTOTAL(9,Q62:Q63)</f>
        <v>0</v>
      </c>
      <c r="R64" s="56">
        <f>SUBTOTAL(9,R62:R63)</f>
        <v>0</v>
      </c>
    </row>
    <row r="65" spans="1:18" outlineLevel="1" x14ac:dyDescent="0.3">
      <c r="A65" s="34"/>
      <c r="B65" s="57"/>
      <c r="C65" s="57"/>
      <c r="D65" s="57"/>
      <c r="E65" s="57"/>
      <c r="F65" s="57"/>
      <c r="G65" s="57"/>
      <c r="H65" s="57"/>
      <c r="I65" s="57"/>
      <c r="J65" s="57"/>
      <c r="K65" s="57"/>
      <c r="L65" s="57"/>
      <c r="M65" s="57"/>
      <c r="N65" s="57"/>
      <c r="O65" s="57"/>
      <c r="P65" s="57"/>
      <c r="Q65" s="57"/>
      <c r="R65" s="58"/>
    </row>
    <row r="66" spans="1:18" ht="15" outlineLevel="1" thickBot="1" x14ac:dyDescent="0.35">
      <c r="A66" s="45" t="s">
        <v>675</v>
      </c>
      <c r="B66" s="49"/>
      <c r="C66" s="49"/>
      <c r="D66" s="49"/>
      <c r="E66" s="49"/>
      <c r="F66" s="49"/>
      <c r="G66" s="49"/>
      <c r="H66" s="49"/>
      <c r="I66" s="49"/>
      <c r="J66" s="49"/>
      <c r="K66" s="49"/>
      <c r="L66" s="49"/>
      <c r="M66" s="49"/>
      <c r="N66" s="50"/>
      <c r="O66" s="50"/>
      <c r="P66" s="50"/>
      <c r="Q66" s="50"/>
      <c r="R66" s="51"/>
    </row>
    <row r="67" spans="1:18" s="81" customFormat="1" outlineLevel="2" x14ac:dyDescent="0.3">
      <c r="A67" s="342"/>
      <c r="B67" s="343"/>
      <c r="C67" s="343"/>
      <c r="D67" s="343"/>
      <c r="E67" s="343"/>
      <c r="F67" s="343"/>
      <c r="G67" s="343"/>
      <c r="H67" s="343"/>
      <c r="I67" s="343"/>
      <c r="J67" s="343"/>
      <c r="K67" s="343"/>
      <c r="L67" s="343"/>
      <c r="M67" s="343">
        <f>SUM(B67:K67)</f>
        <v>0</v>
      </c>
      <c r="N67" s="343"/>
      <c r="O67" s="343"/>
      <c r="P67" s="343"/>
      <c r="Q67" s="343"/>
      <c r="R67" s="345">
        <f>SUM(N67:Q67)</f>
        <v>0</v>
      </c>
    </row>
    <row r="68" spans="1:18" s="81" customFormat="1" ht="15" outlineLevel="2" thickBot="1" x14ac:dyDescent="0.35">
      <c r="A68" s="348" t="s">
        <v>659</v>
      </c>
      <c r="B68" s="287"/>
      <c r="C68" s="287"/>
      <c r="D68" s="287"/>
      <c r="E68" s="287"/>
      <c r="F68" s="287"/>
      <c r="G68" s="287"/>
      <c r="H68" s="287"/>
      <c r="I68" s="287"/>
      <c r="J68" s="287"/>
      <c r="K68" s="287"/>
      <c r="L68" s="287"/>
      <c r="M68" s="287">
        <f>SUM(B68:K68)</f>
        <v>0</v>
      </c>
      <c r="N68" s="287"/>
      <c r="O68" s="287"/>
      <c r="P68" s="287"/>
      <c r="Q68" s="287"/>
      <c r="R68" s="349">
        <f>SUM(N68:Q68)</f>
        <v>0</v>
      </c>
    </row>
    <row r="69" spans="1:18" ht="15" outlineLevel="1" thickBot="1" x14ac:dyDescent="0.35">
      <c r="A69" s="52" t="s">
        <v>660</v>
      </c>
      <c r="B69" s="53">
        <f t="shared" ref="B69:L69" si="9">SUBTOTAL(9,B67:B68)</f>
        <v>0</v>
      </c>
      <c r="C69" s="54">
        <f t="shared" si="9"/>
        <v>0</v>
      </c>
      <c r="D69" s="54">
        <f t="shared" si="9"/>
        <v>0</v>
      </c>
      <c r="E69" s="54">
        <f t="shared" si="9"/>
        <v>0</v>
      </c>
      <c r="F69" s="54">
        <f t="shared" si="9"/>
        <v>0</v>
      </c>
      <c r="G69" s="54">
        <f t="shared" si="9"/>
        <v>0</v>
      </c>
      <c r="H69" s="54">
        <f t="shared" si="9"/>
        <v>0</v>
      </c>
      <c r="I69" s="54">
        <f t="shared" si="9"/>
        <v>0</v>
      </c>
      <c r="J69" s="54">
        <f t="shared" si="9"/>
        <v>0</v>
      </c>
      <c r="K69" s="54">
        <f t="shared" si="9"/>
        <v>0</v>
      </c>
      <c r="L69" s="54">
        <f t="shared" si="9"/>
        <v>0</v>
      </c>
      <c r="M69" s="54">
        <f>SUM(B69:K69)</f>
        <v>0</v>
      </c>
      <c r="N69" s="55">
        <f>SUBTOTAL(9,N67:N68)</f>
        <v>0</v>
      </c>
      <c r="O69" s="55">
        <f>SUBTOTAL(9,O67:O68)</f>
        <v>0</v>
      </c>
      <c r="P69" s="55">
        <f>SUBTOTAL(9,P67:P68)</f>
        <v>0</v>
      </c>
      <c r="Q69" s="55">
        <f>SUBTOTAL(9,Q67:Q68)</f>
        <v>0</v>
      </c>
      <c r="R69" s="56">
        <f>SUBTOTAL(9,R67:R68)</f>
        <v>0</v>
      </c>
    </row>
    <row r="70" spans="1:18" outlineLevel="1" x14ac:dyDescent="0.3">
      <c r="A70" s="34"/>
      <c r="B70" s="57"/>
      <c r="C70" s="57"/>
      <c r="D70" s="57"/>
      <c r="E70" s="57"/>
      <c r="F70" s="57"/>
      <c r="G70" s="57"/>
      <c r="H70" s="57"/>
      <c r="I70" s="57"/>
      <c r="J70" s="57"/>
      <c r="K70" s="57"/>
      <c r="L70" s="57"/>
      <c r="M70" s="57"/>
      <c r="N70" s="57"/>
      <c r="O70" s="57"/>
      <c r="P70" s="57"/>
      <c r="Q70" s="57"/>
      <c r="R70" s="58"/>
    </row>
    <row r="71" spans="1:18" outlineLevel="1" x14ac:dyDescent="0.3">
      <c r="A71" s="45" t="s">
        <v>676</v>
      </c>
      <c r="B71" s="49"/>
      <c r="C71" s="49"/>
      <c r="D71" s="49"/>
      <c r="E71" s="49"/>
      <c r="F71" s="49"/>
      <c r="G71" s="49"/>
      <c r="H71" s="49"/>
      <c r="I71" s="49"/>
      <c r="J71" s="49"/>
      <c r="K71" s="49"/>
      <c r="L71" s="49"/>
      <c r="M71" s="49"/>
      <c r="N71" s="50"/>
      <c r="O71" s="50"/>
      <c r="P71" s="50"/>
      <c r="Q71" s="50"/>
      <c r="R71" s="51"/>
    </row>
    <row r="72" spans="1:18" s="81" customFormat="1" outlineLevel="2" x14ac:dyDescent="0.3">
      <c r="A72" s="346"/>
      <c r="B72" s="298"/>
      <c r="C72" s="298"/>
      <c r="D72" s="298"/>
      <c r="E72" s="298"/>
      <c r="F72" s="298"/>
      <c r="G72" s="298"/>
      <c r="H72" s="298"/>
      <c r="I72" s="298"/>
      <c r="J72" s="298"/>
      <c r="K72" s="298"/>
      <c r="L72" s="298"/>
      <c r="M72" s="298">
        <f>SUM(B72:L72)</f>
        <v>0</v>
      </c>
      <c r="N72" s="298"/>
      <c r="O72" s="298"/>
      <c r="P72" s="298"/>
      <c r="Q72" s="298"/>
      <c r="R72" s="347">
        <f>SUM(N72:Q72)</f>
        <v>0</v>
      </c>
    </row>
    <row r="73" spans="1:18" s="81" customFormat="1" ht="15" outlineLevel="2" thickBot="1" x14ac:dyDescent="0.35">
      <c r="A73" s="348" t="s">
        <v>659</v>
      </c>
      <c r="B73" s="287"/>
      <c r="C73" s="287">
        <v>2000</v>
      </c>
      <c r="D73" s="287">
        <v>200</v>
      </c>
      <c r="E73" s="287">
        <v>400</v>
      </c>
      <c r="F73" s="287">
        <v>100</v>
      </c>
      <c r="G73" s="287">
        <v>100</v>
      </c>
      <c r="H73" s="287">
        <v>100</v>
      </c>
      <c r="I73" s="287">
        <v>300</v>
      </c>
      <c r="J73" s="287">
        <v>500</v>
      </c>
      <c r="K73" s="287">
        <v>200</v>
      </c>
      <c r="L73" s="287">
        <v>100</v>
      </c>
      <c r="M73" s="298">
        <f>SUM(B73:L73)</f>
        <v>4000</v>
      </c>
      <c r="N73" s="287"/>
      <c r="O73" s="287"/>
      <c r="P73" s="287"/>
      <c r="Q73" s="287"/>
      <c r="R73" s="349">
        <f>SUM(N73:Q73)</f>
        <v>0</v>
      </c>
    </row>
    <row r="74" spans="1:18" ht="15" outlineLevel="1" thickBot="1" x14ac:dyDescent="0.35">
      <c r="A74" s="52" t="s">
        <v>660</v>
      </c>
      <c r="B74" s="53">
        <f t="shared" ref="B74:L74" si="10">SUBTOTAL(9,B72:B73)</f>
        <v>0</v>
      </c>
      <c r="C74" s="54">
        <f t="shared" si="10"/>
        <v>2000</v>
      </c>
      <c r="D74" s="54">
        <f t="shared" si="10"/>
        <v>200</v>
      </c>
      <c r="E74" s="54">
        <f t="shared" si="10"/>
        <v>400</v>
      </c>
      <c r="F74" s="54">
        <f t="shared" si="10"/>
        <v>100</v>
      </c>
      <c r="G74" s="54">
        <f t="shared" si="10"/>
        <v>100</v>
      </c>
      <c r="H74" s="54">
        <f t="shared" si="10"/>
        <v>100</v>
      </c>
      <c r="I74" s="54">
        <f t="shared" si="10"/>
        <v>300</v>
      </c>
      <c r="J74" s="54">
        <f t="shared" si="10"/>
        <v>500</v>
      </c>
      <c r="K74" s="54">
        <f t="shared" si="10"/>
        <v>200</v>
      </c>
      <c r="L74" s="54">
        <f t="shared" si="10"/>
        <v>100</v>
      </c>
      <c r="M74" s="54">
        <f>SUM(B74:L74)</f>
        <v>4000</v>
      </c>
      <c r="N74" s="55">
        <f>SUBTOTAL(9,N72:N73)</f>
        <v>0</v>
      </c>
      <c r="O74" s="55">
        <f>SUBTOTAL(9,O72:O73)</f>
        <v>0</v>
      </c>
      <c r="P74" s="55">
        <f>SUBTOTAL(9,P72:P73)</f>
        <v>0</v>
      </c>
      <c r="Q74" s="55">
        <f>SUBTOTAL(9,Q72:Q73)</f>
        <v>0</v>
      </c>
      <c r="R74" s="56">
        <f>SUBTOTAL(9,R72:R73)</f>
        <v>0</v>
      </c>
    </row>
    <row r="75" spans="1:18" outlineLevel="1" x14ac:dyDescent="0.3">
      <c r="A75" s="34"/>
      <c r="B75" s="57"/>
      <c r="C75" s="57"/>
      <c r="D75" s="57"/>
      <c r="E75" s="57"/>
      <c r="F75" s="57"/>
      <c r="G75" s="57"/>
      <c r="H75" s="57"/>
      <c r="I75" s="57"/>
      <c r="J75" s="57"/>
      <c r="K75" s="57"/>
      <c r="L75" s="57"/>
      <c r="M75" s="57"/>
      <c r="N75" s="57"/>
      <c r="O75" s="57"/>
      <c r="P75" s="57"/>
      <c r="Q75" s="57"/>
      <c r="R75" s="58"/>
    </row>
    <row r="76" spans="1:18" ht="15" outlineLevel="1" thickBot="1" x14ac:dyDescent="0.35">
      <c r="A76" s="45" t="s">
        <v>677</v>
      </c>
      <c r="B76" s="49"/>
      <c r="C76" s="49"/>
      <c r="D76" s="49"/>
      <c r="E76" s="49"/>
      <c r="F76" s="49"/>
      <c r="G76" s="49"/>
      <c r="H76" s="49"/>
      <c r="I76" s="49"/>
      <c r="J76" s="49"/>
      <c r="K76" s="49"/>
      <c r="L76" s="49"/>
      <c r="M76" s="49"/>
      <c r="N76" s="50"/>
      <c r="O76" s="50"/>
      <c r="P76" s="50"/>
      <c r="Q76" s="50"/>
      <c r="R76" s="51"/>
    </row>
    <row r="77" spans="1:18" s="81" customFormat="1" ht="15" outlineLevel="2" thickBot="1" x14ac:dyDescent="0.35">
      <c r="A77" s="342"/>
      <c r="B77" s="343"/>
      <c r="C77" s="343">
        <v>0</v>
      </c>
      <c r="D77" s="343"/>
      <c r="E77" s="343"/>
      <c r="F77" s="343"/>
      <c r="G77" s="343">
        <v>0</v>
      </c>
      <c r="H77" s="343"/>
      <c r="I77" s="343"/>
      <c r="J77" s="343"/>
      <c r="K77" s="343"/>
      <c r="L77" s="343"/>
      <c r="M77" s="344">
        <f>SUM(B77:L77)</f>
        <v>0</v>
      </c>
      <c r="N77" s="343"/>
      <c r="O77" s="343"/>
      <c r="P77" s="343"/>
      <c r="Q77" s="343"/>
      <c r="R77" s="345">
        <f>SUM(N77:Q77)</f>
        <v>0</v>
      </c>
    </row>
    <row r="78" spans="1:18" s="81" customFormat="1" ht="323.25" customHeight="1" outlineLevel="2" thickBot="1" x14ac:dyDescent="0.35">
      <c r="A78" s="251" t="s">
        <v>1390</v>
      </c>
      <c r="B78" s="252"/>
      <c r="C78" s="252"/>
      <c r="D78" s="252">
        <v>1000</v>
      </c>
      <c r="E78" s="252"/>
      <c r="F78" s="252"/>
      <c r="G78" s="252"/>
      <c r="H78" s="252"/>
      <c r="I78" s="252"/>
      <c r="J78" s="252"/>
      <c r="K78" s="252">
        <v>19000</v>
      </c>
      <c r="L78" s="252">
        <v>20000</v>
      </c>
      <c r="M78" s="344">
        <f t="shared" ref="M78:M84" si="11">SUM(B78:L78)</f>
        <v>40000</v>
      </c>
      <c r="N78" s="252"/>
      <c r="O78" s="252"/>
      <c r="P78" s="252"/>
      <c r="Q78" s="252"/>
      <c r="R78" s="253"/>
    </row>
    <row r="79" spans="1:18" s="81" customFormat="1" ht="144.6" outlineLevel="2" thickBot="1" x14ac:dyDescent="0.35">
      <c r="A79" s="251" t="s">
        <v>1391</v>
      </c>
      <c r="B79" s="252"/>
      <c r="C79" s="252"/>
      <c r="D79" s="252"/>
      <c r="E79" s="252"/>
      <c r="F79" s="252"/>
      <c r="G79" s="252"/>
      <c r="H79" s="252"/>
      <c r="I79" s="252"/>
      <c r="J79" s="252"/>
      <c r="K79" s="252">
        <v>10000</v>
      </c>
      <c r="L79" s="252">
        <v>30000</v>
      </c>
      <c r="M79" s="344">
        <f t="shared" si="11"/>
        <v>40000</v>
      </c>
      <c r="N79" s="252"/>
      <c r="O79" s="252"/>
      <c r="P79" s="252"/>
      <c r="Q79" s="252"/>
      <c r="R79" s="253"/>
    </row>
    <row r="80" spans="1:18" s="81" customFormat="1" ht="15" outlineLevel="2" thickBot="1" x14ac:dyDescent="0.35">
      <c r="A80" s="251"/>
      <c r="B80" s="252"/>
      <c r="C80" s="252"/>
      <c r="D80" s="252"/>
      <c r="E80" s="252"/>
      <c r="F80" s="252"/>
      <c r="G80" s="252"/>
      <c r="H80" s="252"/>
      <c r="I80" s="252"/>
      <c r="J80" s="252"/>
      <c r="K80" s="252"/>
      <c r="L80" s="252"/>
      <c r="M80" s="344">
        <f t="shared" si="11"/>
        <v>0</v>
      </c>
      <c r="N80" s="252"/>
      <c r="O80" s="252"/>
      <c r="P80" s="252"/>
      <c r="Q80" s="252"/>
      <c r="R80" s="253"/>
    </row>
    <row r="81" spans="1:18" s="81" customFormat="1" ht="15" outlineLevel="2" thickBot="1" x14ac:dyDescent="0.35">
      <c r="A81" s="251"/>
      <c r="B81" s="252"/>
      <c r="C81" s="252"/>
      <c r="D81" s="252"/>
      <c r="E81" s="252"/>
      <c r="F81" s="252"/>
      <c r="G81" s="252"/>
      <c r="H81" s="252"/>
      <c r="I81" s="252"/>
      <c r="J81" s="252"/>
      <c r="K81" s="252"/>
      <c r="L81" s="252"/>
      <c r="M81" s="344">
        <f t="shared" si="11"/>
        <v>0</v>
      </c>
      <c r="N81" s="252"/>
      <c r="O81" s="252"/>
      <c r="P81" s="252"/>
      <c r="Q81" s="252"/>
      <c r="R81" s="253"/>
    </row>
    <row r="82" spans="1:18" s="81" customFormat="1" ht="15" outlineLevel="2" thickBot="1" x14ac:dyDescent="0.35">
      <c r="A82" s="251"/>
      <c r="B82" s="252"/>
      <c r="C82" s="252"/>
      <c r="D82" s="252"/>
      <c r="E82" s="252"/>
      <c r="F82" s="252"/>
      <c r="G82" s="252"/>
      <c r="H82" s="252"/>
      <c r="I82" s="252"/>
      <c r="J82" s="252"/>
      <c r="K82" s="252"/>
      <c r="L82" s="252"/>
      <c r="M82" s="344">
        <f t="shared" si="11"/>
        <v>0</v>
      </c>
      <c r="N82" s="252"/>
      <c r="O82" s="252"/>
      <c r="P82" s="252"/>
      <c r="Q82" s="252"/>
      <c r="R82" s="253"/>
    </row>
    <row r="83" spans="1:18" s="81" customFormat="1" ht="15" outlineLevel="2" thickBot="1" x14ac:dyDescent="0.35">
      <c r="A83" s="251"/>
      <c r="B83" s="252"/>
      <c r="C83" s="252"/>
      <c r="D83" s="252"/>
      <c r="E83" s="252"/>
      <c r="F83" s="252"/>
      <c r="G83" s="252"/>
      <c r="H83" s="252"/>
      <c r="I83" s="252"/>
      <c r="J83" s="252"/>
      <c r="K83" s="252"/>
      <c r="L83" s="252"/>
      <c r="M83" s="344">
        <f t="shared" si="11"/>
        <v>0</v>
      </c>
      <c r="N83" s="252"/>
      <c r="O83" s="252"/>
      <c r="P83" s="252"/>
      <c r="Q83" s="252"/>
      <c r="R83" s="253"/>
    </row>
    <row r="84" spans="1:18" s="81" customFormat="1" ht="15" outlineLevel="2" thickBot="1" x14ac:dyDescent="0.35">
      <c r="A84" s="348" t="s">
        <v>659</v>
      </c>
      <c r="B84" s="287"/>
      <c r="C84" s="287"/>
      <c r="D84" s="287"/>
      <c r="E84" s="287"/>
      <c r="F84" s="287"/>
      <c r="G84" s="287"/>
      <c r="H84" s="287"/>
      <c r="I84" s="287"/>
      <c r="J84" s="287"/>
      <c r="K84" s="287">
        <v>500</v>
      </c>
      <c r="L84" s="287">
        <v>4500</v>
      </c>
      <c r="M84" s="344">
        <f t="shared" si="11"/>
        <v>5000</v>
      </c>
      <c r="N84" s="287"/>
      <c r="O84" s="287"/>
      <c r="P84" s="287"/>
      <c r="Q84" s="287"/>
      <c r="R84" s="349">
        <f>SUM(N84:Q84)</f>
        <v>0</v>
      </c>
    </row>
    <row r="85" spans="1:18" ht="15" outlineLevel="1" thickBot="1" x14ac:dyDescent="0.35">
      <c r="A85" s="52" t="s">
        <v>660</v>
      </c>
      <c r="B85" s="53">
        <f t="shared" ref="B85:K85" si="12">SUBTOTAL(9,B77:B84)</f>
        <v>0</v>
      </c>
      <c r="C85" s="54">
        <f t="shared" si="12"/>
        <v>0</v>
      </c>
      <c r="D85" s="54">
        <f t="shared" si="12"/>
        <v>1000</v>
      </c>
      <c r="E85" s="54">
        <f t="shared" si="12"/>
        <v>0</v>
      </c>
      <c r="F85" s="54">
        <f t="shared" si="12"/>
        <v>0</v>
      </c>
      <c r="G85" s="54">
        <f t="shared" si="12"/>
        <v>0</v>
      </c>
      <c r="H85" s="54">
        <f t="shared" si="12"/>
        <v>0</v>
      </c>
      <c r="I85" s="54">
        <f t="shared" si="12"/>
        <v>0</v>
      </c>
      <c r="J85" s="54">
        <f t="shared" si="12"/>
        <v>0</v>
      </c>
      <c r="K85" s="54">
        <f t="shared" si="12"/>
        <v>29500</v>
      </c>
      <c r="L85" s="54">
        <f>SUBTOTAL(9,L77:L84)</f>
        <v>54500</v>
      </c>
      <c r="M85" s="54">
        <f>SUM(B85:L85)</f>
        <v>85000</v>
      </c>
      <c r="N85" s="55">
        <f>SUBTOTAL(9,N77:N84)</f>
        <v>0</v>
      </c>
      <c r="O85" s="55">
        <f>SUBTOTAL(9,O77:O84)</f>
        <v>0</v>
      </c>
      <c r="P85" s="55">
        <f>SUBTOTAL(9,P77:P84)</f>
        <v>0</v>
      </c>
      <c r="Q85" s="55">
        <f>SUBTOTAL(9,Q77:Q84)</f>
        <v>0</v>
      </c>
      <c r="R85" s="56">
        <f>SUBTOTAL(9,R77:R84)</f>
        <v>0</v>
      </c>
    </row>
    <row r="86" spans="1:18" outlineLevel="1" x14ac:dyDescent="0.3">
      <c r="A86" s="34"/>
      <c r="B86" s="57"/>
      <c r="C86" s="57"/>
      <c r="D86" s="57"/>
      <c r="E86" s="57"/>
      <c r="F86" s="57"/>
      <c r="G86" s="57"/>
      <c r="H86" s="57"/>
      <c r="I86" s="57"/>
      <c r="J86" s="57"/>
      <c r="K86" s="57"/>
      <c r="L86" s="57"/>
      <c r="M86" s="57"/>
      <c r="N86" s="57"/>
      <c r="O86" s="57"/>
      <c r="P86" s="57"/>
      <c r="Q86" s="57"/>
      <c r="R86" s="58"/>
    </row>
    <row r="87" spans="1:18" ht="15" outlineLevel="1" thickBot="1" x14ac:dyDescent="0.35">
      <c r="A87" s="45" t="s">
        <v>678</v>
      </c>
      <c r="B87" s="49"/>
      <c r="C87" s="49"/>
      <c r="D87" s="49"/>
      <c r="E87" s="49"/>
      <c r="F87" s="49"/>
      <c r="G87" s="49"/>
      <c r="H87" s="49"/>
      <c r="I87" s="49"/>
      <c r="J87" s="49"/>
      <c r="K87" s="49"/>
      <c r="L87" s="49"/>
      <c r="M87" s="49"/>
      <c r="N87" s="50"/>
      <c r="O87" s="50"/>
      <c r="P87" s="50"/>
      <c r="Q87" s="50"/>
      <c r="R87" s="51"/>
    </row>
    <row r="88" spans="1:18" s="81" customFormat="1" outlineLevel="2" x14ac:dyDescent="0.3">
      <c r="A88" s="342"/>
      <c r="B88" s="343"/>
      <c r="C88" s="343"/>
      <c r="D88" s="343"/>
      <c r="E88" s="343"/>
      <c r="F88" s="343"/>
      <c r="G88" s="343"/>
      <c r="H88" s="343"/>
      <c r="I88" s="343"/>
      <c r="J88" s="343"/>
      <c r="K88" s="343"/>
      <c r="L88" s="343"/>
      <c r="M88" s="344">
        <f>SUM(B88:L88)</f>
        <v>0</v>
      </c>
      <c r="N88" s="343"/>
      <c r="O88" s="343"/>
      <c r="P88" s="343"/>
      <c r="Q88" s="343"/>
      <c r="R88" s="345">
        <f>SUM(N88:Q88)</f>
        <v>0</v>
      </c>
    </row>
    <row r="89" spans="1:18" s="81" customFormat="1" outlineLevel="2" x14ac:dyDescent="0.3">
      <c r="A89" s="348"/>
      <c r="B89" s="287"/>
      <c r="C89" s="287"/>
      <c r="D89" s="287"/>
      <c r="E89" s="287"/>
      <c r="F89" s="287"/>
      <c r="G89" s="287"/>
      <c r="H89" s="287"/>
      <c r="I89" s="287"/>
      <c r="J89" s="287"/>
      <c r="K89" s="287"/>
      <c r="L89" s="287"/>
      <c r="M89" s="298">
        <f>SUM(B89:L89)</f>
        <v>0</v>
      </c>
      <c r="N89" s="287"/>
      <c r="O89" s="287"/>
      <c r="P89" s="287"/>
      <c r="Q89" s="287"/>
      <c r="R89" s="349">
        <f>SUM(N89:Q89)</f>
        <v>0</v>
      </c>
    </row>
    <row r="90" spans="1:18" s="81" customFormat="1" ht="15" outlineLevel="2" thickBot="1" x14ac:dyDescent="0.35">
      <c r="A90" s="348" t="s">
        <v>659</v>
      </c>
      <c r="B90" s="287"/>
      <c r="C90" s="287"/>
      <c r="D90" s="287"/>
      <c r="E90" s="287"/>
      <c r="F90" s="287"/>
      <c r="G90" s="287"/>
      <c r="H90" s="287"/>
      <c r="I90" s="287"/>
      <c r="J90" s="287"/>
      <c r="K90" s="287">
        <v>1500</v>
      </c>
      <c r="L90" s="287"/>
      <c r="M90" s="297">
        <f>SUM(B90:L90)</f>
        <v>1500</v>
      </c>
      <c r="N90" s="287"/>
      <c r="O90" s="287"/>
      <c r="P90" s="287"/>
      <c r="Q90" s="287"/>
      <c r="R90" s="349">
        <f>SUM(N90:Q90)</f>
        <v>0</v>
      </c>
    </row>
    <row r="91" spans="1:18" ht="15" outlineLevel="1" thickBot="1" x14ac:dyDescent="0.35">
      <c r="A91" s="52" t="s">
        <v>660</v>
      </c>
      <c r="B91" s="53">
        <f t="shared" ref="B91:L91" si="13">SUBTOTAL(9,B88:B90)</f>
        <v>0</v>
      </c>
      <c r="C91" s="54">
        <f t="shared" si="13"/>
        <v>0</v>
      </c>
      <c r="D91" s="54">
        <f t="shared" si="13"/>
        <v>0</v>
      </c>
      <c r="E91" s="54">
        <f t="shared" si="13"/>
        <v>0</v>
      </c>
      <c r="F91" s="54">
        <f t="shared" si="13"/>
        <v>0</v>
      </c>
      <c r="G91" s="54">
        <f t="shared" si="13"/>
        <v>0</v>
      </c>
      <c r="H91" s="54">
        <f t="shared" si="13"/>
        <v>0</v>
      </c>
      <c r="I91" s="54">
        <f t="shared" si="13"/>
        <v>0</v>
      </c>
      <c r="J91" s="54">
        <f t="shared" si="13"/>
        <v>0</v>
      </c>
      <c r="K91" s="54">
        <f t="shared" si="13"/>
        <v>1500</v>
      </c>
      <c r="L91" s="54">
        <f t="shared" si="13"/>
        <v>0</v>
      </c>
      <c r="M91" s="54">
        <f>SUM(B91:L91)</f>
        <v>1500</v>
      </c>
      <c r="N91" s="55">
        <f>SUBTOTAL(9,N88:N90)</f>
        <v>0</v>
      </c>
      <c r="O91" s="55">
        <f>SUBTOTAL(9,O88:O90)</f>
        <v>0</v>
      </c>
      <c r="P91" s="55">
        <f>SUBTOTAL(9,P88:P90)</f>
        <v>0</v>
      </c>
      <c r="Q91" s="55">
        <f>SUBTOTAL(9,Q88:Q90)</f>
        <v>0</v>
      </c>
      <c r="R91" s="56">
        <f>SUBTOTAL(9,R88:R90)</f>
        <v>0</v>
      </c>
    </row>
    <row r="92" spans="1:18" outlineLevel="1" x14ac:dyDescent="0.3">
      <c r="A92" s="34"/>
      <c r="B92" s="57"/>
      <c r="C92" s="57"/>
      <c r="D92" s="57"/>
      <c r="E92" s="57"/>
      <c r="F92" s="57"/>
      <c r="G92" s="57"/>
      <c r="H92" s="57"/>
      <c r="I92" s="57"/>
      <c r="J92" s="57"/>
      <c r="K92" s="57"/>
      <c r="L92" s="57"/>
      <c r="M92" s="57"/>
      <c r="N92" s="57"/>
      <c r="O92" s="57"/>
      <c r="P92" s="57"/>
      <c r="Q92" s="57"/>
      <c r="R92" s="58"/>
    </row>
    <row r="93" spans="1:18" ht="15" outlineLevel="1" thickBot="1" x14ac:dyDescent="0.35">
      <c r="A93" s="45" t="s">
        <v>679</v>
      </c>
      <c r="B93" s="49"/>
      <c r="C93" s="49"/>
      <c r="D93" s="49"/>
      <c r="E93" s="49"/>
      <c r="F93" s="49"/>
      <c r="G93" s="49"/>
      <c r="H93" s="49"/>
      <c r="I93" s="49"/>
      <c r="J93" s="49"/>
      <c r="K93" s="49"/>
      <c r="L93" s="49"/>
      <c r="M93" s="49"/>
      <c r="N93" s="50"/>
      <c r="O93" s="50"/>
      <c r="P93" s="50"/>
      <c r="Q93" s="50"/>
      <c r="R93" s="51"/>
    </row>
    <row r="94" spans="1:18" s="81" customFormat="1" outlineLevel="2" x14ac:dyDescent="0.3">
      <c r="A94" s="342"/>
      <c r="B94" s="343"/>
      <c r="C94" s="343"/>
      <c r="D94" s="343"/>
      <c r="E94" s="343"/>
      <c r="F94" s="343"/>
      <c r="G94" s="343"/>
      <c r="H94" s="343"/>
      <c r="I94" s="343"/>
      <c r="J94" s="343"/>
      <c r="K94" s="343"/>
      <c r="L94" s="343"/>
      <c r="M94" s="344">
        <f>SUM(B94:L94)</f>
        <v>0</v>
      </c>
      <c r="N94" s="343"/>
      <c r="O94" s="343"/>
      <c r="P94" s="343"/>
      <c r="Q94" s="343"/>
      <c r="R94" s="345">
        <f>SUM(N94:Q94)</f>
        <v>0</v>
      </c>
    </row>
    <row r="95" spans="1:18" s="81" customFormat="1" ht="15" outlineLevel="2" thickBot="1" x14ac:dyDescent="0.35">
      <c r="A95" s="348" t="s">
        <v>659</v>
      </c>
      <c r="B95" s="287"/>
      <c r="C95" s="287"/>
      <c r="D95" s="287"/>
      <c r="E95" s="287"/>
      <c r="F95" s="287"/>
      <c r="G95" s="287"/>
      <c r="H95" s="287"/>
      <c r="I95" s="287"/>
      <c r="J95" s="287"/>
      <c r="K95" s="287"/>
      <c r="L95" s="287"/>
      <c r="M95" s="297">
        <f>SUM(B95:L95)</f>
        <v>0</v>
      </c>
      <c r="N95" s="287"/>
      <c r="O95" s="287"/>
      <c r="P95" s="287"/>
      <c r="Q95" s="287"/>
      <c r="R95" s="349">
        <f>SUM(N95:Q95)</f>
        <v>0</v>
      </c>
    </row>
    <row r="96" spans="1:18" ht="15" outlineLevel="1" thickBot="1" x14ac:dyDescent="0.35">
      <c r="A96" s="52" t="s">
        <v>660</v>
      </c>
      <c r="B96" s="53">
        <f t="shared" ref="B96:L96" si="14">SUBTOTAL(9,B94:B95)</f>
        <v>0</v>
      </c>
      <c r="C96" s="54">
        <f t="shared" si="14"/>
        <v>0</v>
      </c>
      <c r="D96" s="54">
        <f t="shared" si="14"/>
        <v>0</v>
      </c>
      <c r="E96" s="54">
        <f t="shared" si="14"/>
        <v>0</v>
      </c>
      <c r="F96" s="54">
        <f t="shared" si="14"/>
        <v>0</v>
      </c>
      <c r="G96" s="54">
        <f t="shared" si="14"/>
        <v>0</v>
      </c>
      <c r="H96" s="54">
        <f t="shared" si="14"/>
        <v>0</v>
      </c>
      <c r="I96" s="54">
        <f t="shared" si="14"/>
        <v>0</v>
      </c>
      <c r="J96" s="54">
        <f t="shared" si="14"/>
        <v>0</v>
      </c>
      <c r="K96" s="54">
        <f t="shared" si="14"/>
        <v>0</v>
      </c>
      <c r="L96" s="54">
        <f t="shared" si="14"/>
        <v>0</v>
      </c>
      <c r="M96" s="54">
        <f>SUM(B96:L96)</f>
        <v>0</v>
      </c>
      <c r="N96" s="55">
        <f>SUBTOTAL(9,N94:N95)</f>
        <v>0</v>
      </c>
      <c r="O96" s="55">
        <f>SUBTOTAL(9,O94:O95)</f>
        <v>0</v>
      </c>
      <c r="P96" s="55">
        <f>SUBTOTAL(9,P94:P95)</f>
        <v>0</v>
      </c>
      <c r="Q96" s="55">
        <f>SUBTOTAL(9,Q94:Q95)</f>
        <v>0</v>
      </c>
      <c r="R96" s="56">
        <f>SUBTOTAL(9,R94:R95)</f>
        <v>0</v>
      </c>
    </row>
    <row r="97" spans="1:18" outlineLevel="1" x14ac:dyDescent="0.3">
      <c r="A97" s="34"/>
      <c r="B97" s="57"/>
      <c r="C97" s="57"/>
      <c r="D97" s="57"/>
      <c r="E97" s="57"/>
      <c r="F97" s="57"/>
      <c r="G97" s="57"/>
      <c r="H97" s="57"/>
      <c r="I97" s="57"/>
      <c r="J97" s="57"/>
      <c r="K97" s="57"/>
      <c r="L97" s="57"/>
      <c r="M97" s="57"/>
      <c r="N97" s="57"/>
      <c r="O97" s="57"/>
      <c r="P97" s="57"/>
      <c r="Q97" s="57"/>
      <c r="R97" s="58"/>
    </row>
    <row r="98" spans="1:18" ht="15" outlineLevel="1" thickBot="1" x14ac:dyDescent="0.35">
      <c r="A98" s="45" t="s">
        <v>680</v>
      </c>
      <c r="B98" s="49"/>
      <c r="C98" s="49"/>
      <c r="D98" s="49"/>
      <c r="E98" s="49"/>
      <c r="F98" s="49"/>
      <c r="G98" s="49"/>
      <c r="H98" s="49"/>
      <c r="I98" s="49"/>
      <c r="J98" s="49"/>
      <c r="K98" s="49"/>
      <c r="L98" s="49"/>
      <c r="M98" s="49"/>
      <c r="N98" s="50"/>
      <c r="O98" s="50"/>
      <c r="P98" s="50"/>
      <c r="Q98" s="50"/>
      <c r="R98" s="51"/>
    </row>
    <row r="99" spans="1:18" s="81" customFormat="1" outlineLevel="2" x14ac:dyDescent="0.3">
      <c r="A99" s="342"/>
      <c r="B99" s="343"/>
      <c r="C99" s="343"/>
      <c r="D99" s="343"/>
      <c r="E99" s="343"/>
      <c r="F99" s="343"/>
      <c r="G99" s="343"/>
      <c r="H99" s="343"/>
      <c r="I99" s="343"/>
      <c r="J99" s="343"/>
      <c r="K99" s="343"/>
      <c r="L99" s="343"/>
      <c r="M99" s="344">
        <f>SUM(B99:L99)</f>
        <v>0</v>
      </c>
      <c r="N99" s="343"/>
      <c r="O99" s="343"/>
      <c r="P99" s="343"/>
      <c r="Q99" s="343"/>
      <c r="R99" s="345">
        <f>SUM(N99:Q99)</f>
        <v>0</v>
      </c>
    </row>
    <row r="100" spans="1:18" s="81" customFormat="1" ht="15" outlineLevel="2" thickBot="1" x14ac:dyDescent="0.35">
      <c r="A100" s="348" t="s">
        <v>659</v>
      </c>
      <c r="B100" s="287"/>
      <c r="C100" s="287"/>
      <c r="D100" s="287"/>
      <c r="E100" s="287"/>
      <c r="F100" s="287"/>
      <c r="G100" s="287"/>
      <c r="H100" s="287"/>
      <c r="I100" s="287"/>
      <c r="J100" s="287"/>
      <c r="K100" s="287">
        <v>500</v>
      </c>
      <c r="L100" s="287"/>
      <c r="M100" s="297">
        <f>SUM(B100:L100)</f>
        <v>500</v>
      </c>
      <c r="N100" s="287"/>
      <c r="O100" s="287"/>
      <c r="P100" s="287"/>
      <c r="Q100" s="287"/>
      <c r="R100" s="349">
        <f>SUM(N100:Q100)</f>
        <v>0</v>
      </c>
    </row>
    <row r="101" spans="1:18" ht="15" outlineLevel="1" thickBot="1" x14ac:dyDescent="0.35">
      <c r="A101" s="52" t="s">
        <v>660</v>
      </c>
      <c r="B101" s="53">
        <f t="shared" ref="B101:L101" si="15">SUBTOTAL(9,B99:B100)</f>
        <v>0</v>
      </c>
      <c r="C101" s="54">
        <f t="shared" si="15"/>
        <v>0</v>
      </c>
      <c r="D101" s="54">
        <f t="shared" si="15"/>
        <v>0</v>
      </c>
      <c r="E101" s="54">
        <f t="shared" si="15"/>
        <v>0</v>
      </c>
      <c r="F101" s="54">
        <f t="shared" si="15"/>
        <v>0</v>
      </c>
      <c r="G101" s="54">
        <f t="shared" si="15"/>
        <v>0</v>
      </c>
      <c r="H101" s="54">
        <f t="shared" si="15"/>
        <v>0</v>
      </c>
      <c r="I101" s="54">
        <f t="shared" si="15"/>
        <v>0</v>
      </c>
      <c r="J101" s="54">
        <f t="shared" si="15"/>
        <v>0</v>
      </c>
      <c r="K101" s="54">
        <f t="shared" si="15"/>
        <v>500</v>
      </c>
      <c r="L101" s="54">
        <f t="shared" si="15"/>
        <v>0</v>
      </c>
      <c r="M101" s="54">
        <f>SUM(B101:L101)</f>
        <v>500</v>
      </c>
      <c r="N101" s="55">
        <f>SUBTOTAL(9,N99:N100)</f>
        <v>0</v>
      </c>
      <c r="O101" s="55">
        <f>SUBTOTAL(9,O99:O100)</f>
        <v>0</v>
      </c>
      <c r="P101" s="55">
        <f>SUBTOTAL(9,P99:P100)</f>
        <v>0</v>
      </c>
      <c r="Q101" s="55">
        <f>SUBTOTAL(9,Q99:Q100)</f>
        <v>0</v>
      </c>
      <c r="R101" s="56">
        <f>SUBTOTAL(9,R99:R100)</f>
        <v>0</v>
      </c>
    </row>
    <row r="102" spans="1:18" outlineLevel="1" x14ac:dyDescent="0.3">
      <c r="A102" s="34"/>
      <c r="B102" s="57"/>
      <c r="C102" s="57"/>
      <c r="D102" s="57"/>
      <c r="E102" s="57"/>
      <c r="F102" s="57"/>
      <c r="G102" s="57"/>
      <c r="H102" s="57"/>
      <c r="I102" s="57"/>
      <c r="J102" s="57"/>
      <c r="K102" s="57"/>
      <c r="L102" s="57"/>
      <c r="M102" s="57"/>
      <c r="N102" s="57"/>
      <c r="O102" s="57"/>
      <c r="P102" s="57"/>
      <c r="Q102" s="57"/>
      <c r="R102" s="58"/>
    </row>
    <row r="103" spans="1:18" ht="15" outlineLevel="1" thickBot="1" x14ac:dyDescent="0.35">
      <c r="A103" s="45" t="s">
        <v>682</v>
      </c>
      <c r="B103" s="49"/>
      <c r="C103" s="49"/>
      <c r="D103" s="49"/>
      <c r="E103" s="49"/>
      <c r="F103" s="49"/>
      <c r="G103" s="49"/>
      <c r="H103" s="49"/>
      <c r="I103" s="49"/>
      <c r="J103" s="49"/>
      <c r="K103" s="49"/>
      <c r="L103" s="49"/>
      <c r="M103" s="49"/>
      <c r="N103" s="50"/>
      <c r="O103" s="50"/>
      <c r="P103" s="50"/>
      <c r="Q103" s="50"/>
      <c r="R103" s="51"/>
    </row>
    <row r="104" spans="1:18" s="81" customFormat="1" outlineLevel="2" x14ac:dyDescent="0.3">
      <c r="A104" s="342"/>
      <c r="B104" s="343"/>
      <c r="C104" s="343"/>
      <c r="D104" s="343"/>
      <c r="E104" s="343"/>
      <c r="F104" s="343"/>
      <c r="G104" s="343"/>
      <c r="H104" s="343"/>
      <c r="I104" s="343"/>
      <c r="J104" s="343"/>
      <c r="K104" s="343"/>
      <c r="L104" s="343"/>
      <c r="M104" s="344">
        <f>SUM(B104:L104)</f>
        <v>0</v>
      </c>
      <c r="N104" s="343"/>
      <c r="O104" s="343"/>
      <c r="P104" s="343"/>
      <c r="Q104" s="343"/>
      <c r="R104" s="345">
        <f>SUM(N104:Q104)</f>
        <v>0</v>
      </c>
    </row>
    <row r="105" spans="1:18" s="81" customFormat="1" ht="15" outlineLevel="2" thickBot="1" x14ac:dyDescent="0.35">
      <c r="A105" s="348" t="s">
        <v>659</v>
      </c>
      <c r="B105" s="287">
        <v>0</v>
      </c>
      <c r="C105" s="287">
        <v>500</v>
      </c>
      <c r="D105" s="287"/>
      <c r="E105" s="287"/>
      <c r="F105" s="287"/>
      <c r="G105" s="287"/>
      <c r="H105" s="287"/>
      <c r="I105" s="287"/>
      <c r="J105" s="287"/>
      <c r="K105" s="287">
        <v>500</v>
      </c>
      <c r="L105" s="287"/>
      <c r="M105" s="297">
        <f>SUM(B105:L105)</f>
        <v>1000</v>
      </c>
      <c r="N105" s="287"/>
      <c r="O105" s="287"/>
      <c r="P105" s="287"/>
      <c r="Q105" s="287"/>
      <c r="R105" s="349">
        <f>SUM(N105:Q105)</f>
        <v>0</v>
      </c>
    </row>
    <row r="106" spans="1:18" ht="15" outlineLevel="1" thickBot="1" x14ac:dyDescent="0.35">
      <c r="A106" s="52" t="s">
        <v>660</v>
      </c>
      <c r="B106" s="53">
        <f t="shared" ref="B106:L106" si="16">SUBTOTAL(9,B104:B105)</f>
        <v>0</v>
      </c>
      <c r="C106" s="54">
        <f t="shared" si="16"/>
        <v>500</v>
      </c>
      <c r="D106" s="54">
        <f t="shared" si="16"/>
        <v>0</v>
      </c>
      <c r="E106" s="54">
        <f t="shared" si="16"/>
        <v>0</v>
      </c>
      <c r="F106" s="54">
        <f t="shared" si="16"/>
        <v>0</v>
      </c>
      <c r="G106" s="54">
        <f t="shared" si="16"/>
        <v>0</v>
      </c>
      <c r="H106" s="54">
        <f t="shared" si="16"/>
        <v>0</v>
      </c>
      <c r="I106" s="54">
        <f t="shared" si="16"/>
        <v>0</v>
      </c>
      <c r="J106" s="54">
        <f t="shared" si="16"/>
        <v>0</v>
      </c>
      <c r="K106" s="54">
        <f t="shared" si="16"/>
        <v>500</v>
      </c>
      <c r="L106" s="54">
        <f t="shared" si="16"/>
        <v>0</v>
      </c>
      <c r="M106" s="54">
        <f>SUM(B106:L106)</f>
        <v>1000</v>
      </c>
      <c r="N106" s="55">
        <f>SUBTOTAL(9,N104:N105)</f>
        <v>0</v>
      </c>
      <c r="O106" s="55">
        <f>SUBTOTAL(9,O104:O105)</f>
        <v>0</v>
      </c>
      <c r="P106" s="55">
        <f>SUBTOTAL(9,P104:P105)</f>
        <v>0</v>
      </c>
      <c r="Q106" s="55">
        <f>SUBTOTAL(9,Q104:Q105)</f>
        <v>0</v>
      </c>
      <c r="R106" s="56">
        <f>SUBTOTAL(9,R104:R105)</f>
        <v>0</v>
      </c>
    </row>
    <row r="107" spans="1:18" outlineLevel="1" x14ac:dyDescent="0.3">
      <c r="A107" s="34"/>
      <c r="B107" s="57"/>
      <c r="C107" s="57"/>
      <c r="D107" s="57"/>
      <c r="E107" s="57"/>
      <c r="F107" s="57"/>
      <c r="G107" s="57"/>
      <c r="H107" s="57"/>
      <c r="I107" s="57"/>
      <c r="J107" s="57"/>
      <c r="K107" s="57"/>
      <c r="L107" s="57"/>
      <c r="M107" s="57"/>
      <c r="N107" s="57"/>
      <c r="O107" s="57"/>
      <c r="P107" s="57"/>
      <c r="Q107" s="57"/>
      <c r="R107" s="58"/>
    </row>
    <row r="108" spans="1:18" ht="15" outlineLevel="1" thickBot="1" x14ac:dyDescent="0.35">
      <c r="A108" s="45" t="s">
        <v>683</v>
      </c>
      <c r="B108" s="49"/>
      <c r="C108" s="49"/>
      <c r="D108" s="49"/>
      <c r="E108" s="49"/>
      <c r="F108" s="49"/>
      <c r="G108" s="49"/>
      <c r="H108" s="49"/>
      <c r="I108" s="49"/>
      <c r="J108" s="49"/>
      <c r="K108" s="49"/>
      <c r="L108" s="49"/>
      <c r="M108" s="49"/>
      <c r="N108" s="50"/>
      <c r="O108" s="50"/>
      <c r="P108" s="50"/>
      <c r="Q108" s="50"/>
      <c r="R108" s="51"/>
    </row>
    <row r="109" spans="1:18" s="81" customFormat="1" ht="72" outlineLevel="2" x14ac:dyDescent="0.3">
      <c r="A109" s="342" t="s">
        <v>1361</v>
      </c>
      <c r="B109" s="343"/>
      <c r="C109" s="343"/>
      <c r="D109" s="343">
        <v>9000</v>
      </c>
      <c r="E109" s="343"/>
      <c r="F109" s="343"/>
      <c r="G109" s="343">
        <v>500</v>
      </c>
      <c r="H109" s="343">
        <v>6000</v>
      </c>
      <c r="I109" s="343"/>
      <c r="J109" s="343"/>
      <c r="K109" s="343">
        <v>500</v>
      </c>
      <c r="L109" s="343"/>
      <c r="M109" s="344">
        <f t="shared" ref="M109:M114" si="17">SUM(B109:L109)</f>
        <v>16000</v>
      </c>
      <c r="N109" s="343"/>
      <c r="O109" s="343"/>
      <c r="P109" s="343"/>
      <c r="Q109" s="343"/>
      <c r="R109" s="345">
        <f>SUM(N109:Q109)</f>
        <v>0</v>
      </c>
    </row>
    <row r="110" spans="1:18" s="81" customFormat="1" ht="43.2" outlineLevel="2" x14ac:dyDescent="0.3">
      <c r="A110" s="346" t="s">
        <v>1362</v>
      </c>
      <c r="B110" s="298">
        <v>10000</v>
      </c>
      <c r="C110" s="298"/>
      <c r="D110" s="298"/>
      <c r="E110" s="298"/>
      <c r="F110" s="298"/>
      <c r="G110" s="298"/>
      <c r="H110" s="298"/>
      <c r="I110" s="298"/>
      <c r="J110" s="298"/>
      <c r="K110" s="298"/>
      <c r="L110" s="298"/>
      <c r="M110" s="298">
        <f t="shared" si="17"/>
        <v>10000</v>
      </c>
      <c r="N110" s="298"/>
      <c r="O110" s="298"/>
      <c r="P110" s="298"/>
      <c r="Q110" s="298"/>
      <c r="R110" s="347">
        <f>SUM(N110:Q110)</f>
        <v>0</v>
      </c>
    </row>
    <row r="111" spans="1:18" s="81" customFormat="1" ht="16.8" outlineLevel="2" x14ac:dyDescent="0.4">
      <c r="A111" s="993" t="s">
        <v>1363</v>
      </c>
      <c r="B111" s="298"/>
      <c r="C111" s="298"/>
      <c r="D111" s="298"/>
      <c r="E111" s="298"/>
      <c r="F111" s="298"/>
      <c r="G111" s="298"/>
      <c r="H111" s="298"/>
      <c r="I111" s="298"/>
      <c r="J111" s="298">
        <v>5000</v>
      </c>
      <c r="K111" s="298"/>
      <c r="L111" s="298"/>
      <c r="M111" s="298">
        <f t="shared" si="17"/>
        <v>5000</v>
      </c>
      <c r="N111" s="298"/>
      <c r="O111" s="298"/>
      <c r="P111" s="298"/>
      <c r="Q111" s="298"/>
      <c r="R111" s="347">
        <f>SUM(N111:Q111)</f>
        <v>0</v>
      </c>
    </row>
    <row r="112" spans="1:18" s="81" customFormat="1" outlineLevel="2" x14ac:dyDescent="0.3">
      <c r="A112" s="348"/>
      <c r="B112" s="287"/>
      <c r="C112" s="287"/>
      <c r="D112" s="287"/>
      <c r="E112" s="287"/>
      <c r="F112" s="287"/>
      <c r="G112" s="287"/>
      <c r="H112" s="287"/>
      <c r="I112" s="287"/>
      <c r="J112" s="287"/>
      <c r="K112" s="287"/>
      <c r="L112" s="287"/>
      <c r="M112" s="298">
        <f t="shared" si="17"/>
        <v>0</v>
      </c>
      <c r="N112" s="287"/>
      <c r="O112" s="287"/>
      <c r="P112" s="287"/>
      <c r="Q112" s="287"/>
      <c r="R112" s="349">
        <f>SUM(N112:Q112)</f>
        <v>0</v>
      </c>
    </row>
    <row r="113" spans="1:18" s="81" customFormat="1" ht="15" outlineLevel="2" thickBot="1" x14ac:dyDescent="0.35">
      <c r="A113" s="348" t="s">
        <v>659</v>
      </c>
      <c r="B113" s="287"/>
      <c r="C113" s="287">
        <v>1000</v>
      </c>
      <c r="D113" s="287">
        <v>200</v>
      </c>
      <c r="E113" s="287">
        <v>200</v>
      </c>
      <c r="F113" s="287">
        <v>100</v>
      </c>
      <c r="G113" s="287">
        <v>100</v>
      </c>
      <c r="H113" s="287">
        <v>300</v>
      </c>
      <c r="I113" s="287">
        <v>300</v>
      </c>
      <c r="J113" s="287">
        <v>1000</v>
      </c>
      <c r="K113" s="287">
        <v>500</v>
      </c>
      <c r="L113" s="287"/>
      <c r="M113" s="297">
        <f t="shared" si="17"/>
        <v>3700</v>
      </c>
      <c r="N113" s="287"/>
      <c r="O113" s="287"/>
      <c r="P113" s="287"/>
      <c r="Q113" s="287"/>
      <c r="R113" s="349">
        <f>SUM(N113:Q113)</f>
        <v>0</v>
      </c>
    </row>
    <row r="114" spans="1:18" ht="15" outlineLevel="1" thickBot="1" x14ac:dyDescent="0.35">
      <c r="A114" s="52" t="s">
        <v>660</v>
      </c>
      <c r="B114" s="53">
        <f t="shared" ref="B114:L114" si="18">SUBTOTAL(9,B109:B113)</f>
        <v>10000</v>
      </c>
      <c r="C114" s="54">
        <f t="shared" si="18"/>
        <v>1000</v>
      </c>
      <c r="D114" s="54">
        <f t="shared" si="18"/>
        <v>9200</v>
      </c>
      <c r="E114" s="54">
        <f t="shared" si="18"/>
        <v>200</v>
      </c>
      <c r="F114" s="54">
        <f t="shared" si="18"/>
        <v>100</v>
      </c>
      <c r="G114" s="54">
        <f t="shared" si="18"/>
        <v>600</v>
      </c>
      <c r="H114" s="54">
        <f t="shared" si="18"/>
        <v>6300</v>
      </c>
      <c r="I114" s="54">
        <f t="shared" si="18"/>
        <v>300</v>
      </c>
      <c r="J114" s="54">
        <f t="shared" si="18"/>
        <v>6000</v>
      </c>
      <c r="K114" s="54">
        <f t="shared" si="18"/>
        <v>1000</v>
      </c>
      <c r="L114" s="54">
        <f t="shared" si="18"/>
        <v>0</v>
      </c>
      <c r="M114" s="54">
        <f t="shared" si="17"/>
        <v>34700</v>
      </c>
      <c r="N114" s="55">
        <f>SUBTOTAL(9,N109:N113)</f>
        <v>0</v>
      </c>
      <c r="O114" s="55">
        <f>SUBTOTAL(9,O109:O113)</f>
        <v>0</v>
      </c>
      <c r="P114" s="55">
        <f>SUBTOTAL(9,P109:P113)</f>
        <v>0</v>
      </c>
      <c r="Q114" s="55">
        <f>SUBTOTAL(9,Q109:Q113)</f>
        <v>0</v>
      </c>
      <c r="R114" s="56">
        <f>SUBTOTAL(9,R109:R113)</f>
        <v>0</v>
      </c>
    </row>
    <row r="115" spans="1:18" outlineLevel="1" x14ac:dyDescent="0.3">
      <c r="A115" s="34"/>
      <c r="B115" s="57"/>
      <c r="C115" s="57"/>
      <c r="D115" s="57"/>
      <c r="E115" s="57"/>
      <c r="F115" s="57"/>
      <c r="G115" s="57"/>
      <c r="H115" s="57"/>
      <c r="I115" s="57"/>
      <c r="J115" s="57"/>
      <c r="K115" s="57"/>
      <c r="L115" s="57"/>
      <c r="M115" s="57"/>
      <c r="N115" s="57"/>
      <c r="O115" s="57"/>
      <c r="P115" s="57"/>
      <c r="Q115" s="57"/>
      <c r="R115" s="58"/>
    </row>
    <row r="116" spans="1:18" s="81" customFormat="1" ht="28.8" outlineLevel="1" x14ac:dyDescent="0.3">
      <c r="A116" s="251" t="s">
        <v>684</v>
      </c>
      <c r="B116" s="252"/>
      <c r="C116" s="252">
        <v>1000</v>
      </c>
      <c r="D116" s="252">
        <v>2000</v>
      </c>
      <c r="E116" s="252">
        <v>400</v>
      </c>
      <c r="F116" s="252"/>
      <c r="G116" s="252">
        <v>200</v>
      </c>
      <c r="H116" s="252">
        <v>1000</v>
      </c>
      <c r="I116" s="252">
        <v>500</v>
      </c>
      <c r="J116" s="252">
        <v>500</v>
      </c>
      <c r="K116" s="252">
        <v>0</v>
      </c>
      <c r="L116" s="252"/>
      <c r="M116" s="252">
        <f>SUM(B116:K116)</f>
        <v>5600</v>
      </c>
      <c r="N116" s="252"/>
      <c r="O116" s="252">
        <v>200</v>
      </c>
      <c r="P116" s="252"/>
      <c r="Q116" s="252"/>
      <c r="R116" s="253">
        <f>SUM(N116:Q116)</f>
        <v>200</v>
      </c>
    </row>
    <row r="117" spans="1:18" outlineLevel="1" x14ac:dyDescent="0.3">
      <c r="A117" s="34"/>
      <c r="B117" s="57"/>
      <c r="C117" s="57"/>
      <c r="D117" s="57"/>
      <c r="E117" s="57"/>
      <c r="F117" s="57"/>
      <c r="G117" s="57"/>
      <c r="H117" s="57"/>
      <c r="I117" s="57"/>
      <c r="J117" s="57"/>
      <c r="K117" s="57"/>
      <c r="L117" s="57"/>
      <c r="M117" s="57"/>
      <c r="N117" s="57"/>
      <c r="O117" s="57"/>
      <c r="P117" s="57"/>
      <c r="Q117" s="57"/>
      <c r="R117" s="58"/>
    </row>
    <row r="118" spans="1:18" x14ac:dyDescent="0.3">
      <c r="A118" s="83" t="s">
        <v>556</v>
      </c>
      <c r="B118" s="35">
        <f>SUBTOTAL(9,Tabelle8[Honorare Dozierende])</f>
        <v>19390</v>
      </c>
      <c r="C118" s="35">
        <f>SUBTOTAL(9,Tabelle8[Andere Honorare])</f>
        <v>13770</v>
      </c>
      <c r="D118" s="35">
        <f>SUBTOTAL(9,Tabelle8[Interne Reisekosten])</f>
        <v>26000</v>
      </c>
      <c r="E118" s="35">
        <f>SUBTOTAL(9,Tabelle8[Externe Reisekosten])</f>
        <v>2900</v>
      </c>
      <c r="F118" s="35">
        <f>SUBTOTAL(9,Tabelle8[Bewirtung/Repräsentation int.])</f>
        <v>2548</v>
      </c>
      <c r="G118" s="35">
        <f>SUBTOTAL(9,Tabelle8[Bewirtung/Repräsentation ext.])</f>
        <v>2900</v>
      </c>
      <c r="H118" s="35">
        <f>SUBTOTAL(9,Tabelle8[Raum- und Unterkunftskosten int.])</f>
        <v>22791</v>
      </c>
      <c r="I118" s="35">
        <f>SUBTOTAL(9,Tabelle8[Raum- und Unterkunftskosten ext.])</f>
        <v>2206</v>
      </c>
      <c r="J118" s="35">
        <f>SUBTOTAL(9,Tabelle8[Druckkosten])</f>
        <v>9025</v>
      </c>
      <c r="K118" s="35">
        <f>SUBTOTAL(9,Tabelle8[Sonstige Ausgaben])</f>
        <v>48390</v>
      </c>
      <c r="L118" s="35">
        <f>SUBTOTAL(9,Tabelle8[IT-Dienstleistungen])</f>
        <v>72288</v>
      </c>
      <c r="M118" s="35"/>
      <c r="N118" s="36">
        <f>SUBTOTAL(9,Tabelle8[Teilnahmebeiträge Seminare])</f>
        <v>2500</v>
      </c>
      <c r="O118" s="36">
        <f>SUBTOTAL(9,Tabelle8[Teilnahmebeiträge Veranstaltungen])</f>
        <v>450</v>
      </c>
      <c r="P118" s="36">
        <f>SUBTOTAL(9,Tabelle8[Bewirtung Veranst.])</f>
        <v>0</v>
      </c>
      <c r="Q118" s="36">
        <f>SUBTOTAL(9,Tabelle8[Förderungen])</f>
        <v>9176.25</v>
      </c>
      <c r="R118" s="36">
        <f>SUBTOTAL(9,Tabelle8[Einnahmen Gesamt])</f>
        <v>12126.25</v>
      </c>
    </row>
    <row r="120" spans="1:18" ht="18" x14ac:dyDescent="0.35">
      <c r="A120" s="11"/>
    </row>
    <row r="121" spans="1:18" ht="18.600000000000001" thickBot="1" x14ac:dyDescent="0.4">
      <c r="A121" s="11"/>
    </row>
    <row r="122" spans="1:18" ht="43.2" x14ac:dyDescent="0.3">
      <c r="A122" s="352" t="s">
        <v>461</v>
      </c>
      <c r="B122" s="67" t="s">
        <v>685</v>
      </c>
      <c r="C122" s="63" t="s">
        <v>686</v>
      </c>
      <c r="D122" s="63" t="s">
        <v>646</v>
      </c>
    </row>
    <row r="123" spans="1:18" ht="15" thickBot="1" x14ac:dyDescent="0.35">
      <c r="A123" s="71" t="s">
        <v>679</v>
      </c>
      <c r="B123" s="72" t="s">
        <v>687</v>
      </c>
      <c r="C123" s="86" t="s">
        <v>688</v>
      </c>
      <c r="D123" s="86" t="s">
        <v>689</v>
      </c>
    </row>
    <row r="124" spans="1:18" s="81" customFormat="1" x14ac:dyDescent="0.3">
      <c r="A124" s="254" t="s">
        <v>690</v>
      </c>
      <c r="B124" s="255">
        <v>0</v>
      </c>
      <c r="C124" s="256">
        <v>0</v>
      </c>
      <c r="D124" s="256">
        <v>0</v>
      </c>
    </row>
    <row r="125" spans="1:18" s="81" customFormat="1" x14ac:dyDescent="0.3">
      <c r="A125" s="257"/>
      <c r="B125" s="353"/>
      <c r="C125" s="354"/>
      <c r="D125" s="354"/>
    </row>
    <row r="126" spans="1:18" s="81" customFormat="1" x14ac:dyDescent="0.3">
      <c r="A126" s="257" t="s">
        <v>691</v>
      </c>
      <c r="B126" s="353">
        <v>0</v>
      </c>
      <c r="C126" s="354">
        <v>0</v>
      </c>
      <c r="D126" s="354">
        <v>0</v>
      </c>
    </row>
    <row r="127" spans="1:18" s="81" customFormat="1" ht="15" thickBot="1" x14ac:dyDescent="0.35">
      <c r="A127" s="257" t="s">
        <v>562</v>
      </c>
      <c r="B127" s="258">
        <v>0</v>
      </c>
      <c r="C127" s="355"/>
      <c r="D127" s="355"/>
    </row>
    <row r="128" spans="1:18" ht="15" thickBot="1" x14ac:dyDescent="0.35">
      <c r="A128" s="70" t="s">
        <v>692</v>
      </c>
      <c r="B128" s="356">
        <f>SUBTOTAL(9,B124:B127)</f>
        <v>0</v>
      </c>
      <c r="C128" s="66">
        <f>SUBTOTAL(9,C124:C127)</f>
        <v>0</v>
      </c>
      <c r="D128" s="66">
        <f>SUBTOTAL(9,D124:D127)</f>
        <v>0</v>
      </c>
    </row>
    <row r="129" spans="1:4" x14ac:dyDescent="0.3">
      <c r="A129" s="70"/>
      <c r="B129" s="68"/>
      <c r="C129" s="65"/>
      <c r="D129" s="65"/>
    </row>
    <row r="130" spans="1:4" ht="15" thickBot="1" x14ac:dyDescent="0.35">
      <c r="A130" s="71" t="s">
        <v>683</v>
      </c>
      <c r="B130" s="73"/>
      <c r="C130" s="74"/>
      <c r="D130" s="74"/>
    </row>
    <row r="131" spans="1:4" s="81" customFormat="1" x14ac:dyDescent="0.3">
      <c r="A131" s="254" t="s">
        <v>693</v>
      </c>
      <c r="B131" s="255"/>
      <c r="C131" s="256"/>
      <c r="D131" s="256">
        <f>SUBTOTAL(109,D123:D130)</f>
        <v>0</v>
      </c>
    </row>
    <row r="132" spans="1:4" s="81" customFormat="1" x14ac:dyDescent="0.3">
      <c r="A132" s="257" t="s">
        <v>694</v>
      </c>
      <c r="B132" s="353"/>
      <c r="C132" s="354"/>
      <c r="D132" s="354">
        <v>3000</v>
      </c>
    </row>
    <row r="133" spans="1:4" s="81" customFormat="1" x14ac:dyDescent="0.3">
      <c r="A133" s="257" t="s">
        <v>695</v>
      </c>
      <c r="B133" s="353">
        <v>0</v>
      </c>
      <c r="C133" s="354"/>
      <c r="D133" s="354">
        <v>0</v>
      </c>
    </row>
    <row r="134" spans="1:4" s="81" customFormat="1" x14ac:dyDescent="0.3">
      <c r="A134" s="357" t="s">
        <v>696</v>
      </c>
      <c r="B134" s="258"/>
      <c r="C134" s="355"/>
      <c r="D134" s="355">
        <v>4000</v>
      </c>
    </row>
    <row r="135" spans="1:4" s="81" customFormat="1" ht="15" thickBot="1" x14ac:dyDescent="0.35">
      <c r="A135" s="357"/>
      <c r="B135" s="258"/>
      <c r="C135" s="355"/>
      <c r="D135" s="355"/>
    </row>
    <row r="136" spans="1:4" ht="15" thickBot="1" x14ac:dyDescent="0.35">
      <c r="A136" s="358" t="s">
        <v>692</v>
      </c>
      <c r="B136" s="356">
        <f>SUBTOTAL(9,B131:B134)</f>
        <v>0</v>
      </c>
      <c r="C136" s="87">
        <f>SUBTOTAL(9,C131:C134)</f>
        <v>0</v>
      </c>
      <c r="D136" s="87">
        <f>SUBTOTAL(9,D131:D134)</f>
        <v>7000</v>
      </c>
    </row>
    <row r="137" spans="1:4" x14ac:dyDescent="0.3">
      <c r="A137" s="358"/>
      <c r="B137" s="64"/>
      <c r="C137" s="49"/>
      <c r="D137" s="49"/>
    </row>
    <row r="138" spans="1:4" ht="15" thickBot="1" x14ac:dyDescent="0.35">
      <c r="A138" s="85" t="s">
        <v>697</v>
      </c>
      <c r="B138" s="69">
        <f>SUBTOTAL(9,Tabelle13[Honorare Doz. Lerngruppen])</f>
        <v>0</v>
      </c>
      <c r="C138" s="359">
        <f>SUBTOTAL(9,Tabelle13[Honorare Seminare Campus])</f>
        <v>0</v>
      </c>
      <c r="D138" s="359">
        <f>SUBTOTAL(9,Tabelle13[Bewirtung/Repräsentation ext.])</f>
        <v>7000</v>
      </c>
    </row>
  </sheetData>
  <sheetProtection insertRows="0" insertHyperlinks="0"/>
  <phoneticPr fontId="79" type="noConversion"/>
  <hyperlinks>
    <hyperlink ref="B123" location="Haushalt!D254" display="(Titel 681.30)" xr:uid="{00000000-0004-0000-1200-000000000000}"/>
    <hyperlink ref="G2" location="AStA_Bew.Ext." display="AStA_Bew.Ext." xr:uid="{00000000-0004-0000-1200-000001000000}"/>
    <hyperlink ref="I2" location="AStA_R_U_Ext." display="AStA_R_U_Ext." xr:uid="{00000000-0004-0000-1200-000002000000}"/>
    <hyperlink ref="J2" location="AStA_Druck" display="AStA_Druck" xr:uid="{00000000-0004-0000-1200-000003000000}"/>
    <hyperlink ref="K2" location="AStA_Sonst." display="AStA_Sonst." xr:uid="{00000000-0004-0000-1200-000004000000}"/>
    <hyperlink ref="F2" location="AStA_Bew.Int." display="AStA_Bew.Int." xr:uid="{00000000-0004-0000-1200-000005000000}"/>
    <hyperlink ref="H2" location="AStA_R_U_Int." display="AStA_R_U_Int." xr:uid="{00000000-0004-0000-1200-000006000000}"/>
    <hyperlink ref="N2" location="AStA_TN_I" display="AStA_TN_I" xr:uid="{00000000-0004-0000-1200-000007000000}"/>
    <hyperlink ref="O2" location="AStA_TN_2" display="AStA_TN_2" xr:uid="{00000000-0004-0000-1200-000008000000}"/>
    <hyperlink ref="P2" location="AStA_Einn.Bew." display="AStA_Einn.Bew." xr:uid="{00000000-0004-0000-1200-000009000000}"/>
    <hyperlink ref="Q2" location="Haushalt!D32" display="Haushalt!D32" xr:uid="{00000000-0004-0000-1200-00000A000000}"/>
    <hyperlink ref="C123" location="Haushalt!C265" display="(Titel 681.40)" xr:uid="{00000000-0004-0000-1200-00000B000000}"/>
    <hyperlink ref="D123" location="Haushalt!C266" display="(Titel 681.50)" xr:uid="{00000000-0004-0000-1200-00000C000000}"/>
    <hyperlink ref="D136" location="Haushalt!D266" display="Haushalt!D266" xr:uid="{00000000-0004-0000-1200-00000D000000}"/>
    <hyperlink ref="B136" location="Haushalt!D264" display="Haushalt!D264" xr:uid="{00000000-0004-0000-1200-00000E000000}"/>
    <hyperlink ref="B128" location="Haushalt!D264" display="Haushalt!D264" xr:uid="{00000000-0004-0000-1200-00000F000000}"/>
    <hyperlink ref="C136" location="Haushalt!D265" display="Haushalt!D265" xr:uid="{00000000-0004-0000-1200-000010000000}"/>
    <hyperlink ref="B4" location="AStA_Hon_I" display="AStA_Hon_I" xr:uid="{00000000-0004-0000-1200-000011000000}"/>
    <hyperlink ref="C4" location="AStA_Hon_II" display="AStA_Hon_II" xr:uid="{00000000-0004-0000-1200-000012000000}"/>
    <hyperlink ref="E4" location="AStA_Ext.RK" display="AStA_Ext.RK" xr:uid="{00000000-0004-0000-1200-000013000000}"/>
    <hyperlink ref="G4" location="AStA_Bew.Ext." display="AStA_Bew.Ext." xr:uid="{00000000-0004-0000-1200-000014000000}"/>
    <hyperlink ref="I4" location="AStA_R_U_Ext." display="AStA_R_U_Ext." xr:uid="{00000000-0004-0000-1200-000015000000}"/>
    <hyperlink ref="J4" location="AStA_Druck" display="AStA_Druck" xr:uid="{00000000-0004-0000-1200-000016000000}"/>
    <hyperlink ref="K4" location="AStA_Sonst." display="AStA_Sonst." xr:uid="{00000000-0004-0000-1200-000017000000}"/>
    <hyperlink ref="F4" location="AStA_Bew.Int." display="AStA_Bew.Int." xr:uid="{00000000-0004-0000-1200-000018000000}"/>
    <hyperlink ref="H4" location="AStA_R_U_Int." display="AStA_R_U_Int." xr:uid="{00000000-0004-0000-1200-000019000000}"/>
    <hyperlink ref="D4" location="AStA_RK_Int." display="AStA_RK_Int." xr:uid="{00000000-0004-0000-1200-00001A000000}"/>
    <hyperlink ref="N4" location="AStA_TN_I" display="AStA_TN_I" xr:uid="{00000000-0004-0000-1200-00001B000000}"/>
    <hyperlink ref="O4" location="AStA_TN_2" display="AStA_TN_2" xr:uid="{00000000-0004-0000-1200-00001C000000}"/>
    <hyperlink ref="P4" location="AStA_Einn.Bew." display="AStA_Einn.Bew." xr:uid="{00000000-0004-0000-1200-00001D000000}"/>
    <hyperlink ref="Q4" location="Förderungen" display="Förderungen" xr:uid="{00000000-0004-0000-1200-00001E000000}"/>
    <hyperlink ref="E2" location="AStA_Ext.RK" display="AStA_Ext.RK" xr:uid="{00000000-0004-0000-1200-00001F000000}"/>
    <hyperlink ref="D2" location="AStA_RK_Int." display="AStA_RK_Int." xr:uid="{00000000-0004-0000-1200-000020000000}"/>
    <hyperlink ref="C2" location="AStA_Hon_II" display="AStA_Hon_II" xr:uid="{00000000-0004-0000-1200-000021000000}"/>
    <hyperlink ref="B2" location="AStA_Hon_I" display="AStA_Hon_I" xr:uid="{00000000-0004-0000-1200-000022000000}"/>
    <hyperlink ref="L4" location="Haushalt!E231" display="Haushalt!E231" xr:uid="{00000000-0004-0000-1200-000023000000}"/>
  </hyperlinks>
  <pageMargins left="0.7" right="0.7" top="0.78740157499999996" bottom="0.78740157499999996" header="0.3" footer="0.3"/>
  <pageSetup paperSize="9" orientation="portrait" verticalDpi="0"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349</vt:i4>
      </vt:variant>
    </vt:vector>
  </HeadingPairs>
  <TitlesOfParts>
    <vt:vector size="368" baseType="lpstr">
      <vt:lpstr>Haushalt</vt:lpstr>
      <vt:lpstr>Tabelle1</vt:lpstr>
      <vt:lpstr>Stellenplan</vt:lpstr>
      <vt:lpstr>Anschaffungsplan+BHS</vt:lpstr>
      <vt:lpstr>Mieten und Lizenzen</vt:lpstr>
      <vt:lpstr>Leistungen Dritter</vt:lpstr>
      <vt:lpstr>Aufwandsentschädigungen</vt:lpstr>
      <vt:lpstr>WiWi neu</vt:lpstr>
      <vt:lpstr>KSW neu</vt:lpstr>
      <vt:lpstr>PSY neu</vt:lpstr>
      <vt:lpstr>ReWi neu</vt:lpstr>
      <vt:lpstr>M_I</vt:lpstr>
      <vt:lpstr>ReWi</vt:lpstr>
      <vt:lpstr>HHJ_2021_2022</vt:lpstr>
      <vt:lpstr>HHJ_2022_2023</vt:lpstr>
      <vt:lpstr>PSY</vt:lpstr>
      <vt:lpstr>WiWi</vt:lpstr>
      <vt:lpstr>KSW</vt:lpstr>
      <vt:lpstr>Referatspläne</vt:lpstr>
      <vt:lpstr>AEFKKSW_413.21</vt:lpstr>
      <vt:lpstr>AEFKKSW_527.40</vt:lpstr>
      <vt:lpstr>AEFKKSW_529.40</vt:lpstr>
      <vt:lpstr>AEFKKSW_531.40</vt:lpstr>
      <vt:lpstr>AEFKM_I_413.21</vt:lpstr>
      <vt:lpstr>AEFKM_I_527.40</vt:lpstr>
      <vt:lpstr>AEFKM_I_529.40</vt:lpstr>
      <vt:lpstr>AEFKM_I_531.40</vt:lpstr>
      <vt:lpstr>AEFKPSY_413.21</vt:lpstr>
      <vt:lpstr>AEFKPSY_527.40</vt:lpstr>
      <vt:lpstr>AEFKPSY_529.40</vt:lpstr>
      <vt:lpstr>AEFKPSY_531.40</vt:lpstr>
      <vt:lpstr>AEFKRewi_413.21</vt:lpstr>
      <vt:lpstr>AEFKRewi_527.40</vt:lpstr>
      <vt:lpstr>AEFKRewi_529.40</vt:lpstr>
      <vt:lpstr>AEFKRewi_531.40</vt:lpstr>
      <vt:lpstr>KSW!AEFKWiwi_413.21</vt:lpstr>
      <vt:lpstr>M_I!AEFKWiwi_413.21</vt:lpstr>
      <vt:lpstr>PSY!AEFKWiwi_413.21</vt:lpstr>
      <vt:lpstr>ReWi!AEFKWiwi_413.21</vt:lpstr>
      <vt:lpstr>AEFKWiwi_413.21</vt:lpstr>
      <vt:lpstr>KSW!AEFKWiwi_527.40</vt:lpstr>
      <vt:lpstr>M_I!AEFKWiwi_527.40</vt:lpstr>
      <vt:lpstr>PSY!AEFKWiwi_527.40</vt:lpstr>
      <vt:lpstr>ReWi!AEFKWiwi_527.40</vt:lpstr>
      <vt:lpstr>AEFKWiwi_527.40</vt:lpstr>
      <vt:lpstr>KSW!AEFKWiwi_529.40</vt:lpstr>
      <vt:lpstr>M_I!AEFKWiwi_529.40</vt:lpstr>
      <vt:lpstr>PSY!AEFKWiwi_529.40</vt:lpstr>
      <vt:lpstr>ReWi!AEFKWiwi_529.40</vt:lpstr>
      <vt:lpstr>AEFKWiwi_529.40</vt:lpstr>
      <vt:lpstr>KSW!AEFKWiwi_531.40</vt:lpstr>
      <vt:lpstr>M_I!AEFKWiwi_531.40</vt:lpstr>
      <vt:lpstr>PSY!AEFKWiwi_531.40</vt:lpstr>
      <vt:lpstr>ReWi!AEFKWiwi_531.40</vt:lpstr>
      <vt:lpstr>AEFKWiwi_531.40</vt:lpstr>
      <vt:lpstr>AStA_Bew.Ext.</vt:lpstr>
      <vt:lpstr>AStA_Bew.Int.</vt:lpstr>
      <vt:lpstr>AStA_Druck</vt:lpstr>
      <vt:lpstr>AStA_Einn.Bew.</vt:lpstr>
      <vt:lpstr>AStA_Ext.RK</vt:lpstr>
      <vt:lpstr>AStA_Hon_I</vt:lpstr>
      <vt:lpstr>AStA_Hon_II</vt:lpstr>
      <vt:lpstr>AStA_R_U_Ext.</vt:lpstr>
      <vt:lpstr>AStA_R_U_Int.</vt:lpstr>
      <vt:lpstr>AStA_Referate</vt:lpstr>
      <vt:lpstr>AStA_RK_Int.</vt:lpstr>
      <vt:lpstr>AStA_SKP</vt:lpstr>
      <vt:lpstr>AStA_Sonst.</vt:lpstr>
      <vt:lpstr>AStA_TN_2</vt:lpstr>
      <vt:lpstr>AStA_TN_I</vt:lpstr>
      <vt:lpstr>AStA_VBG</vt:lpstr>
      <vt:lpstr>Beschäft._VBG</vt:lpstr>
      <vt:lpstr>'KSW neu'!BHS_II</vt:lpstr>
      <vt:lpstr>'PSY neu'!BHS_II</vt:lpstr>
      <vt:lpstr>'ReWi neu'!BHS_II</vt:lpstr>
      <vt:lpstr>BHS_II</vt:lpstr>
      <vt:lpstr>BR_Besch.</vt:lpstr>
      <vt:lpstr>BR_Beschäft.</vt:lpstr>
      <vt:lpstr>Bundesknappschaft</vt:lpstr>
      <vt:lpstr>Campus_Bew.</vt:lpstr>
      <vt:lpstr>Förderungen</vt:lpstr>
      <vt:lpstr>Förderungen_Sonst</vt:lpstr>
      <vt:lpstr>Gehälter_Beschäft.</vt:lpstr>
      <vt:lpstr>'KSW neu'!ggg</vt:lpstr>
      <vt:lpstr>'PSY neu'!ggg</vt:lpstr>
      <vt:lpstr>'ReWi neu'!ggg</vt:lpstr>
      <vt:lpstr>ggg</vt:lpstr>
      <vt:lpstr>IT_Dienstl.</vt:lpstr>
      <vt:lpstr>IT_Mieten</vt:lpstr>
      <vt:lpstr>'KSW neu'!IT_Mieten_Ges.</vt:lpstr>
      <vt:lpstr>'PSY neu'!IT_Mieten_Ges.</vt:lpstr>
      <vt:lpstr>'ReWi neu'!IT_Mieten_Ges.</vt:lpstr>
      <vt:lpstr>IT_Mieten_Ges.</vt:lpstr>
      <vt:lpstr>KSW_AE_var</vt:lpstr>
      <vt:lpstr>KSW_Bew.Ext.</vt:lpstr>
      <vt:lpstr>KSW_Bew.Int.</vt:lpstr>
      <vt:lpstr>KSW_Druck</vt:lpstr>
      <vt:lpstr>KSW_Ext.RK</vt:lpstr>
      <vt:lpstr>KSW_Hon_I</vt:lpstr>
      <vt:lpstr>KSW_Hon_II</vt:lpstr>
      <vt:lpstr>KSW_R_U_Ext.</vt:lpstr>
      <vt:lpstr>KSW_R_U_Int.</vt:lpstr>
      <vt:lpstr>KSW_RK_Int.</vt:lpstr>
      <vt:lpstr>KSW_Sonst.</vt:lpstr>
      <vt:lpstr>KSW_Sonst_Einnahmen</vt:lpstr>
      <vt:lpstr>KSW_TN_Beiträge_I</vt:lpstr>
      <vt:lpstr>KSW_TN_Beiträge_II</vt:lpstr>
      <vt:lpstr>Lerngruppen_ges.</vt:lpstr>
      <vt:lpstr>Lizenzen</vt:lpstr>
      <vt:lpstr>'KSW neu'!Lizenzen_Ges.</vt:lpstr>
      <vt:lpstr>'PSY neu'!Lizenzen_Ges.</vt:lpstr>
      <vt:lpstr>'ReWi neu'!Lizenzen_Ges.</vt:lpstr>
      <vt:lpstr>Lizenzen_Ges.</vt:lpstr>
      <vt:lpstr>M_I_AE_var</vt:lpstr>
      <vt:lpstr>M_I_Bew.Ext.</vt:lpstr>
      <vt:lpstr>M_I_Bew.Int.</vt:lpstr>
      <vt:lpstr>M_I_Druck</vt:lpstr>
      <vt:lpstr>M_I_Ext.RK</vt:lpstr>
      <vt:lpstr>M_I_Hon_I</vt:lpstr>
      <vt:lpstr>M_I_Hon_II</vt:lpstr>
      <vt:lpstr>M_I_R_U_Ext.</vt:lpstr>
      <vt:lpstr>M_I_R_U_Int.</vt:lpstr>
      <vt:lpstr>M_I_RK_Int.</vt:lpstr>
      <vt:lpstr>M_I_Sonst.</vt:lpstr>
      <vt:lpstr>M_I_Sonst_Einnahmen</vt:lpstr>
      <vt:lpstr>M_I_TN_Beiträge_I</vt:lpstr>
      <vt:lpstr>M_I_TN_Beiträge_II</vt:lpstr>
      <vt:lpstr>MaßnKSW_220.10</vt:lpstr>
      <vt:lpstr>MaßnKSW_230.10</vt:lpstr>
      <vt:lpstr>MaßnKSW_527.40</vt:lpstr>
      <vt:lpstr>MaßnKSW_529.40</vt:lpstr>
      <vt:lpstr>MaßnKSW_531.40</vt:lpstr>
      <vt:lpstr>MaßnKSW_551.40</vt:lpstr>
      <vt:lpstr>MaßnKSW_551.50</vt:lpstr>
      <vt:lpstr>MaßnKSW_551.60</vt:lpstr>
      <vt:lpstr>MaßnKSW_551.70</vt:lpstr>
      <vt:lpstr>MaßnKSW_560.70</vt:lpstr>
      <vt:lpstr>MaßnM_I_220.10</vt:lpstr>
      <vt:lpstr>MaßnM_I_230.10</vt:lpstr>
      <vt:lpstr>MaßnM_I_413.21</vt:lpstr>
      <vt:lpstr>MaßnM_I_527.40</vt:lpstr>
      <vt:lpstr>MaßnM_I_529.40</vt:lpstr>
      <vt:lpstr>MaßnM_I_531.40</vt:lpstr>
      <vt:lpstr>MaßnM_I_551.40</vt:lpstr>
      <vt:lpstr>MaßnM_I_551.50</vt:lpstr>
      <vt:lpstr>MaßnM_I_551.60</vt:lpstr>
      <vt:lpstr>MaßnM_I_551.70</vt:lpstr>
      <vt:lpstr>MaßnM_I_560.70</vt:lpstr>
      <vt:lpstr>MaßnPSY_220.10</vt:lpstr>
      <vt:lpstr>MaßnPSY_230.10</vt:lpstr>
      <vt:lpstr>MaßnPSY_413.21</vt:lpstr>
      <vt:lpstr>MaßnPSY_527.40</vt:lpstr>
      <vt:lpstr>MaßnPSY_529.40</vt:lpstr>
      <vt:lpstr>MaßnPSY_531.40</vt:lpstr>
      <vt:lpstr>MaßnPSY_551.40</vt:lpstr>
      <vt:lpstr>MaßnPSY_551.50</vt:lpstr>
      <vt:lpstr>MaßnPSY_551.60</vt:lpstr>
      <vt:lpstr>MaßnPSY_551.70</vt:lpstr>
      <vt:lpstr>MaßnPSY_560.70</vt:lpstr>
      <vt:lpstr>MaßnRewi_220.10</vt:lpstr>
      <vt:lpstr>MaßnRewi_230.10</vt:lpstr>
      <vt:lpstr>MaßnRewi_413.21</vt:lpstr>
      <vt:lpstr>MaßnRewi_527.40</vt:lpstr>
      <vt:lpstr>MaßnRewi_529.40</vt:lpstr>
      <vt:lpstr>MaßnRewi_531.40</vt:lpstr>
      <vt:lpstr>MaßnRewi_551.40</vt:lpstr>
      <vt:lpstr>MaßnRewi_551.50</vt:lpstr>
      <vt:lpstr>MaßnRewi_551.60</vt:lpstr>
      <vt:lpstr>MaßnRewi_551.70</vt:lpstr>
      <vt:lpstr>MaßnRewi_560.70</vt:lpstr>
      <vt:lpstr>KSW!MaßnWiwi_220.10</vt:lpstr>
      <vt:lpstr>M_I!MaßnWiwi_220.10</vt:lpstr>
      <vt:lpstr>PSY!MaßnWiwi_220.10</vt:lpstr>
      <vt:lpstr>ReWi!MaßnWiwi_220.10</vt:lpstr>
      <vt:lpstr>MaßnWiwi_220.10</vt:lpstr>
      <vt:lpstr>KSW!MaßnWiwi_230.10</vt:lpstr>
      <vt:lpstr>M_I!MaßnWiwi_230.10</vt:lpstr>
      <vt:lpstr>PSY!MaßnWiwi_230.10</vt:lpstr>
      <vt:lpstr>ReWi!MaßnWiwi_230.10</vt:lpstr>
      <vt:lpstr>MaßnWiwi_230.10</vt:lpstr>
      <vt:lpstr>KSW!MaßnWiwi_413.21</vt:lpstr>
      <vt:lpstr>M_I!MaßnWiwi_413.21</vt:lpstr>
      <vt:lpstr>PSY!MaßnWiwi_413.21</vt:lpstr>
      <vt:lpstr>ReWi!MaßnWiwi_413.21</vt:lpstr>
      <vt:lpstr>MaßnWiwi_413.21</vt:lpstr>
      <vt:lpstr>KSW!MaßnWiwi_527.40</vt:lpstr>
      <vt:lpstr>M_I!MaßnWiwi_527.40</vt:lpstr>
      <vt:lpstr>PSY!MaßnWiwi_527.40</vt:lpstr>
      <vt:lpstr>ReWi!MaßnWiwi_527.40</vt:lpstr>
      <vt:lpstr>MaßnWiwi_527.40</vt:lpstr>
      <vt:lpstr>KSW!MaßnWiwi_529.40</vt:lpstr>
      <vt:lpstr>M_I!MaßnWiwi_529.40</vt:lpstr>
      <vt:lpstr>PSY!MaßnWiwi_529.40</vt:lpstr>
      <vt:lpstr>ReWi!MaßnWiwi_529.40</vt:lpstr>
      <vt:lpstr>MaßnWiwi_529.40</vt:lpstr>
      <vt:lpstr>KSW!MaßnWiwi_531.40</vt:lpstr>
      <vt:lpstr>M_I!MaßnWiwi_531.40</vt:lpstr>
      <vt:lpstr>PSY!MaßnWiwi_531.40</vt:lpstr>
      <vt:lpstr>ReWi!MaßnWiwi_531.40</vt:lpstr>
      <vt:lpstr>MaßnWiwi_531.40</vt:lpstr>
      <vt:lpstr>KSW!MaßnWiwi_551.40</vt:lpstr>
      <vt:lpstr>M_I!MaßnWiwi_551.40</vt:lpstr>
      <vt:lpstr>PSY!MaßnWiwi_551.40</vt:lpstr>
      <vt:lpstr>ReWi!MaßnWiwi_551.40</vt:lpstr>
      <vt:lpstr>MaßnWiwi_551.40</vt:lpstr>
      <vt:lpstr>KSW!MaßnWiwi_551.50</vt:lpstr>
      <vt:lpstr>M_I!MaßnWiwi_551.50</vt:lpstr>
      <vt:lpstr>PSY!MaßnWiwi_551.50</vt:lpstr>
      <vt:lpstr>ReWi!MaßnWiwi_551.50</vt:lpstr>
      <vt:lpstr>MaßnWiwi_551.50</vt:lpstr>
      <vt:lpstr>KSW!MaßnWiwi_551.60</vt:lpstr>
      <vt:lpstr>M_I!MaßnWiwi_551.60</vt:lpstr>
      <vt:lpstr>PSY!MaßnWiwi_551.60</vt:lpstr>
      <vt:lpstr>ReWi!MaßnWiwi_551.60</vt:lpstr>
      <vt:lpstr>MaßnWiwi_551.60</vt:lpstr>
      <vt:lpstr>KSW!MaßnWiwi_551.70</vt:lpstr>
      <vt:lpstr>M_I!MaßnWiwi_551.70</vt:lpstr>
      <vt:lpstr>PSY!MaßnWiwi_551.70</vt:lpstr>
      <vt:lpstr>ReWi!MaßnWiwi_551.70</vt:lpstr>
      <vt:lpstr>MaßnWiwi_551.70</vt:lpstr>
      <vt:lpstr>KSW!MaßnWiwi_560.70</vt:lpstr>
      <vt:lpstr>M_I!MaßnWiwi_560.70</vt:lpstr>
      <vt:lpstr>PSY!MaßnWiwi_560.70</vt:lpstr>
      <vt:lpstr>ReWi!MaßnWiwi_560.70</vt:lpstr>
      <vt:lpstr>MaßnWiwi_560.70</vt:lpstr>
      <vt:lpstr>Mieten</vt:lpstr>
      <vt:lpstr>Neu_Allg.</vt:lpstr>
      <vt:lpstr>Neu_BHS</vt:lpstr>
      <vt:lpstr>Neu_EDV_Tel.</vt:lpstr>
      <vt:lpstr>Neuanschaff_Allg</vt:lpstr>
      <vt:lpstr>Neuanschaff_EDV</vt:lpstr>
      <vt:lpstr>Psy_AE_var</vt:lpstr>
      <vt:lpstr>Psy_Bew.Ext.</vt:lpstr>
      <vt:lpstr>Psy_Bew.Int.</vt:lpstr>
      <vt:lpstr>Psy_Druck</vt:lpstr>
      <vt:lpstr>Psy_Ext.RK</vt:lpstr>
      <vt:lpstr>PSY_Hon_I</vt:lpstr>
      <vt:lpstr>Psy_Hon_II</vt:lpstr>
      <vt:lpstr>Psy_R_U_Ext.</vt:lpstr>
      <vt:lpstr>Psy_R_U_Int.</vt:lpstr>
      <vt:lpstr>Psy_RK_Int.</vt:lpstr>
      <vt:lpstr>Psy_Sonst.</vt:lpstr>
      <vt:lpstr>Psy_Sonst_Einnahmen</vt:lpstr>
      <vt:lpstr>Psy_TN_Beiträge_I</vt:lpstr>
      <vt:lpstr>Psy_TN_Beiträge_II</vt:lpstr>
      <vt:lpstr>Rechtsk.FSen</vt:lpstr>
      <vt:lpstr>Renov_Inst</vt:lpstr>
      <vt:lpstr>Renov_Inst.</vt:lpstr>
      <vt:lpstr>Rewi_AE_var</vt:lpstr>
      <vt:lpstr>Rewi_Bew.Ext.</vt:lpstr>
      <vt:lpstr>Rewi_Bew.Int.</vt:lpstr>
      <vt:lpstr>Rewi_Druck</vt:lpstr>
      <vt:lpstr>Rewi_Ext.RK</vt:lpstr>
      <vt:lpstr>Rewi_Hon_I</vt:lpstr>
      <vt:lpstr>Rewi_Hon_II</vt:lpstr>
      <vt:lpstr>Rewi_R_U_Ext.</vt:lpstr>
      <vt:lpstr>Rewi_R_U_Int.</vt:lpstr>
      <vt:lpstr>Rewi_RK_Int.</vt:lpstr>
      <vt:lpstr>Rewi_Sonst.</vt:lpstr>
      <vt:lpstr>Rewi_Sonst_Einnahmen</vt:lpstr>
      <vt:lpstr>Rewi_TN_Beiträge_I</vt:lpstr>
      <vt:lpstr>Rewi_TN_Beiträge_II</vt:lpstr>
      <vt:lpstr>SemKSW_210.10</vt:lpstr>
      <vt:lpstr>SemKSW_220.10</vt:lpstr>
      <vt:lpstr>SemKSW_230.10</vt:lpstr>
      <vt:lpstr>SemKSW_551.10</vt:lpstr>
      <vt:lpstr>SemKSW_551.20</vt:lpstr>
      <vt:lpstr>SemKSW_551.30</vt:lpstr>
      <vt:lpstr>SemKSW_551.40</vt:lpstr>
      <vt:lpstr>SemKSW_551.50</vt:lpstr>
      <vt:lpstr>SemKSW_551.60</vt:lpstr>
      <vt:lpstr>SemM_I_210.10</vt:lpstr>
      <vt:lpstr>SemM_I_220.10</vt:lpstr>
      <vt:lpstr>SemM_I_230.10</vt:lpstr>
      <vt:lpstr>SemM_I_551.10</vt:lpstr>
      <vt:lpstr>SemM_I_551.20</vt:lpstr>
      <vt:lpstr>SemM_I_551.30</vt:lpstr>
      <vt:lpstr>SemM_I_551.40</vt:lpstr>
      <vt:lpstr>SemM_I_551.50</vt:lpstr>
      <vt:lpstr>SemM_I_551.60</vt:lpstr>
      <vt:lpstr>SemPSY_210.10</vt:lpstr>
      <vt:lpstr>SemPSY_220.10</vt:lpstr>
      <vt:lpstr>SemPSY_230.10</vt:lpstr>
      <vt:lpstr>SemPSY_551.10</vt:lpstr>
      <vt:lpstr>SemPSY_551.20</vt:lpstr>
      <vt:lpstr>SemPSY_551.30</vt:lpstr>
      <vt:lpstr>SemPSY_551.40</vt:lpstr>
      <vt:lpstr>SemPSY_551.50</vt:lpstr>
      <vt:lpstr>SemPSY_551.60</vt:lpstr>
      <vt:lpstr>SemRewi_210.10</vt:lpstr>
      <vt:lpstr>SemRewi_220.10</vt:lpstr>
      <vt:lpstr>SemRewi_230.10</vt:lpstr>
      <vt:lpstr>SemRewi_551.10</vt:lpstr>
      <vt:lpstr>SemRewi_551.20</vt:lpstr>
      <vt:lpstr>SemRewi_551.30</vt:lpstr>
      <vt:lpstr>SemRewi_551.40</vt:lpstr>
      <vt:lpstr>SemRewi_551.50</vt:lpstr>
      <vt:lpstr>SemRewi_551.60</vt:lpstr>
      <vt:lpstr>KSW!SemWiwi_210.10</vt:lpstr>
      <vt:lpstr>M_I!SemWiwi_210.10</vt:lpstr>
      <vt:lpstr>PSY!SemWiwi_210.10</vt:lpstr>
      <vt:lpstr>ReWi!SemWiwi_210.10</vt:lpstr>
      <vt:lpstr>SemWiwi_210.10</vt:lpstr>
      <vt:lpstr>KSW!SemWiwi_220.10</vt:lpstr>
      <vt:lpstr>M_I!SemWiwi_220.10</vt:lpstr>
      <vt:lpstr>PSY!SemWiwi_220.10</vt:lpstr>
      <vt:lpstr>ReWi!SemWiwi_220.10</vt:lpstr>
      <vt:lpstr>SemWiwi_220.10</vt:lpstr>
      <vt:lpstr>KSW!SemWiwi_230.10</vt:lpstr>
      <vt:lpstr>M_I!SemWiwi_230.10</vt:lpstr>
      <vt:lpstr>PSY!SemWiwi_230.10</vt:lpstr>
      <vt:lpstr>ReWi!SemWiwi_230.10</vt:lpstr>
      <vt:lpstr>SemWiwi_230.10</vt:lpstr>
      <vt:lpstr>KSW!SemWiwi_551.10</vt:lpstr>
      <vt:lpstr>M_I!SemWiwi_551.10</vt:lpstr>
      <vt:lpstr>PSY!SemWiwi_551.10</vt:lpstr>
      <vt:lpstr>ReWi!SemWiwi_551.10</vt:lpstr>
      <vt:lpstr>SemWiwi_551.10</vt:lpstr>
      <vt:lpstr>KSW!SemWiwi_551.20</vt:lpstr>
      <vt:lpstr>M_I!SemWiwi_551.20</vt:lpstr>
      <vt:lpstr>PSY!SemWiwi_551.20</vt:lpstr>
      <vt:lpstr>ReWi!SemWiwi_551.20</vt:lpstr>
      <vt:lpstr>SemWiwi_551.20</vt:lpstr>
      <vt:lpstr>KSW!SemWiwi_551.30</vt:lpstr>
      <vt:lpstr>M_I!SemWiwi_551.30</vt:lpstr>
      <vt:lpstr>PSY!SemWiwi_551.30</vt:lpstr>
      <vt:lpstr>ReWi!SemWiwi_551.30</vt:lpstr>
      <vt:lpstr>SemWiwi_551.30</vt:lpstr>
      <vt:lpstr>KSW!SemWiwi_551.40</vt:lpstr>
      <vt:lpstr>M_I!SemWiwi_551.40</vt:lpstr>
      <vt:lpstr>PSY!SemWiwi_551.40</vt:lpstr>
      <vt:lpstr>ReWi!SemWiwi_551.40</vt:lpstr>
      <vt:lpstr>SemWiwi_551.40</vt:lpstr>
      <vt:lpstr>KSW!SemWiwi_551.50</vt:lpstr>
      <vt:lpstr>M_I!SemWiwi_551.50</vt:lpstr>
      <vt:lpstr>PSY!SemWiwi_551.50</vt:lpstr>
      <vt:lpstr>ReWi!SemWiwi_551.50</vt:lpstr>
      <vt:lpstr>SemWiwi_551.50</vt:lpstr>
      <vt:lpstr>KSW!SemWiwi_551.60</vt:lpstr>
      <vt:lpstr>M_I!SemWiwi_551.60</vt:lpstr>
      <vt:lpstr>PSY!SemWiwi_551.60</vt:lpstr>
      <vt:lpstr>ReWi!SemWiwi_551.60</vt:lpstr>
      <vt:lpstr>SemWiwi_551.60</vt:lpstr>
      <vt:lpstr>SozVers_Besch.</vt:lpstr>
      <vt:lpstr>SozVers_Beschäft.</vt:lpstr>
      <vt:lpstr>Steuern_Besch.</vt:lpstr>
      <vt:lpstr>Steuern_Beschäft.</vt:lpstr>
      <vt:lpstr>'ReWi neu'!ttz</vt:lpstr>
      <vt:lpstr>ttz</vt:lpstr>
      <vt:lpstr>Wiwi_AE_var</vt:lpstr>
      <vt:lpstr>Wiwi_Bew.Ext.</vt:lpstr>
      <vt:lpstr>Wiwi_Bew.Int.</vt:lpstr>
      <vt:lpstr>Wiwi_Druck</vt:lpstr>
      <vt:lpstr>Wiwi_Ext.RK</vt:lpstr>
      <vt:lpstr>Wiwi_Hon_I</vt:lpstr>
      <vt:lpstr>Wiwi_Hon_II</vt:lpstr>
      <vt:lpstr>Wiwi_R_U_Ext.</vt:lpstr>
      <vt:lpstr>Wiwi_R_U_Int.</vt:lpstr>
      <vt:lpstr>Wiwi_RK_Int.</vt:lpstr>
      <vt:lpstr>Wiwi_Sonst.</vt:lpstr>
      <vt:lpstr>Wiwi_Sonst_Einnahmen</vt:lpstr>
      <vt:lpstr>Wiwi_TN_Beiträge_I</vt:lpstr>
      <vt:lpstr>Wiwi_TN_Beiträge_II</vt:lpstr>
      <vt:lpstr>Zuschüsse_Campus</vt:lpstr>
      <vt:lpstr>'KSW neu'!zz</vt:lpstr>
      <vt:lpstr>'PSY neu'!zz</vt:lpstr>
      <vt:lpstr>'ReWi neu'!zz</vt:lpstr>
      <vt:lpstr>zz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Carsten Fedderke</dc:creator>
  <cp:keywords/>
  <dc:description/>
  <cp:lastModifiedBy>Roschin, Nils</cp:lastModifiedBy>
  <cp:revision/>
  <dcterms:created xsi:type="dcterms:W3CDTF">2022-03-31T14:13:39Z</dcterms:created>
  <dcterms:modified xsi:type="dcterms:W3CDTF">2025-01-29T19:50:57Z</dcterms:modified>
  <cp:category/>
  <cp:contentStatus/>
</cp:coreProperties>
</file>